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ryanm\Dropbox\RESNET\Water\Pilot Projects\"/>
    </mc:Choice>
  </mc:AlternateContent>
  <bookViews>
    <workbookView xWindow="0" yWindow="0" windowWidth="23040" windowHeight="9192" tabRatio="694" activeTab="1"/>
  </bookViews>
  <sheets>
    <sheet name="Instructions" sheetId="3" r:id="rId1"/>
    <sheet name="Water Use Calcs" sheetId="1" r:id="rId2"/>
  </sheets>
  <definedNames>
    <definedName name="ACY">'Water Use Calcs'!$B$60</definedName>
    <definedName name="adjFmix">'Water Use Calcs'!$E$62</definedName>
    <definedName name="AGC">'Water Use Calcs'!$B$58</definedName>
    <definedName name="branchL">'Water Use Calcs'!$B$12</definedName>
    <definedName name="Bsmt">'Water Use Calcs'!$I$7</definedName>
    <definedName name="CAPw">'Water Use Calcs'!$B$54</definedName>
    <definedName name="CFA">'Water Use Calcs'!$I$4</definedName>
    <definedName name="ColdW_gpd">'Water Use Calcs'!$E$14</definedName>
    <definedName name="CW_gpd">'Water Use Calcs'!$E$8:$G$8</definedName>
    <definedName name="cwFmix">'Water Use Calcs'!$B$69</definedName>
    <definedName name="CWgpd">'Water Use Calcs'!$B$66</definedName>
    <definedName name="CWhot">'Water Use Calcs'!$B$70</definedName>
    <definedName name="CWtemp">'Water Use Calcs'!$B$68</definedName>
    <definedName name="CWtot_gpd">'Water Use Calcs'!$G$8</definedName>
    <definedName name="CWwf">'Water Use Calcs'!$I$11</definedName>
    <definedName name="DW_EF">'Water Use Calcs'!$B$62</definedName>
    <definedName name="DW_gpd">'Water Use Calcs'!$E$9:$G$9</definedName>
    <definedName name="dWcap">'Water Use Calcs'!$B$61</definedName>
    <definedName name="DWgpd">'Water Use Calcs'!$B$65</definedName>
    <definedName name="DWHReff">'Water Use Calcs'!$I$55</definedName>
    <definedName name="DWHRinT">'Water Use Calcs'!$I$57</definedName>
    <definedName name="expA">'Water Use Calcs'!$H$30</definedName>
    <definedName name="expAref">'Water Use Calcs'!$F$30</definedName>
    <definedName name="expB">'Water Use Calcs'!$H$31</definedName>
    <definedName name="expBref">'Water Use Calcs'!$F$31</definedName>
    <definedName name="F_eff">'Water Use Calcs'!$G$64</definedName>
    <definedName name="faucet_pc">'Water Use Calcs'!$G$57</definedName>
    <definedName name="FixF">'Water Use Calcs'!$I$60</definedName>
    <definedName name="FixtureHot">'Water Use Calcs'!$G$53</definedName>
    <definedName name="FixtureTot">'Water Use Calcs'!$G$54</definedName>
    <definedName name="Fmix">'Water Use Calcs'!$E$61</definedName>
    <definedName name="gdp_ratio">'Water Use Calcs'!$I$68</definedName>
    <definedName name="gpf">'Water Use Calcs'!$I$13</definedName>
    <definedName name="HotOther_br">'Water Use Calcs'!$B$51</definedName>
    <definedName name="HW_Leaks">'Water Use Calcs'!$F$12</definedName>
    <definedName name="HWgpd">'Water Use Calcs'!$F$14</definedName>
    <definedName name="Ifrac">'Water Use Calcs'!$I$58</definedName>
    <definedName name="kitch">'Water Use Calcs'!$G$61</definedName>
    <definedName name="Kitch_pc">'Water Use Calcs'!$G$58</definedName>
    <definedName name="kitch_Ref_gpm">'Water Use Calcs'!$G$63</definedName>
    <definedName name="KitchF_gpd">'Water Use Calcs'!$E$5:$G$5</definedName>
    <definedName name="KitchFeff">'Water Use Calcs'!$E$59</definedName>
    <definedName name="kWh_cost">'Water Use Calcs'!$B$56</definedName>
    <definedName name="Landscape_Area">'Water Use Calcs'!$B$17</definedName>
    <definedName name="lav">'Water Use Calcs'!$G$62</definedName>
    <definedName name="Lav_pc">'Water Use Calcs'!$G$59</definedName>
    <definedName name="LavF_gpd">'Water Use Calcs'!$E$6:$G$6</definedName>
    <definedName name="LavFeff">'Water Use Calcs'!$E$60</definedName>
    <definedName name="LER">'Water Use Calcs'!$B$55</definedName>
    <definedName name="LocF">'Water Use Calcs'!$I$59</definedName>
    <definedName name="loopL">'Water Use Calcs'!$B$11</definedName>
    <definedName name="Lot_Area">'Water Use Calcs'!$B$16</definedName>
    <definedName name="Lot_size">'Water Use Calcs'!$B$22</definedName>
    <definedName name="Nbr">'Water Use Calcs'!$I$5</definedName>
    <definedName name="NCY">'Water Use Calcs'!$B$59</definedName>
    <definedName name="NetET">'Water Use Calcs'!$B$31</definedName>
    <definedName name="Nfl">'Water Use Calcs'!$I$6</definedName>
    <definedName name="Occ">'Water Use Calcs'!$I$53</definedName>
    <definedName name="oCDeff">'Water Use Calcs'!$K$55</definedName>
    <definedName name="oEWfact">'Water Use Calcs'!$E$68</definedName>
    <definedName name="oFrac">'Water Use Calcs'!$K$54</definedName>
    <definedName name="Out_base">'Water Use Calcs'!#REF!</definedName>
    <definedName name="Out_baseRef">'Water Use Calcs'!#REF!</definedName>
    <definedName name="Out_gpd">'Water Use Calcs'!$B$36</definedName>
    <definedName name="Out_Pool">'Water Use Calcs'!#REF!</definedName>
    <definedName name="Out_PoolRef">'Water Use Calcs'!#REF!</definedName>
    <definedName name="Out_Sprink">'Water Use Calcs'!#REF!</definedName>
    <definedName name="Out_SprinkRef">'Water Use Calcs'!#REF!</definedName>
    <definedName name="OutRef_gpd">'Water Use Calcs'!$B$29</definedName>
    <definedName name="oWgpd">'Water Use Calcs'!$E$66</definedName>
    <definedName name="percent_landscape">'Water Use Calcs'!#REF!</definedName>
    <definedName name="PipeL">'Water Use Calcs'!$B$10</definedName>
    <definedName name="PLC">'Water Use Calcs'!$I$61</definedName>
    <definedName name="PLCfact">'Water Use Calcs'!$I$62</definedName>
    <definedName name="pLength">'Water Use Calcs'!$I$66</definedName>
    <definedName name="pool_ind">'Water Use Calcs'!$B$33</definedName>
    <definedName name="pRatio">'Water Use Calcs'!$I$64</definedName>
    <definedName name="pumpW">'Water Use Calcs'!$B$13</definedName>
    <definedName name="Ref_Irr_Area">'Water Use Calcs'!$B$30</definedName>
    <definedName name="refCWgpd">'Water Use Calcs'!$B$64</definedName>
    <definedName name="refDWgpd">'Water Use Calcs'!$B$63</definedName>
    <definedName name="refFgpd">'Water Use Calcs'!$E$64</definedName>
    <definedName name="refFPO">'Water Use Calcs'!$E$54</definedName>
    <definedName name="refGPF">'Water Use Calcs'!$E$53</definedName>
    <definedName name="refLoopL">'Water Use Calcs'!$B$26</definedName>
    <definedName name="refPipeL">'Water Use Calcs'!$B$25</definedName>
    <definedName name="refSofgpd">'Water Use Calcs'!$B$41</definedName>
    <definedName name="refWgpd">'Water Use Calcs'!$E$63</definedName>
    <definedName name="RICI_Rat">'Water Use Calcs'!$B$34</definedName>
    <definedName name="Rici_Ref">'Water Use Calcs'!$B$35</definedName>
    <definedName name="sEWfact">'Water Use Calcs'!$E$69</definedName>
    <definedName name="Sh_ref_gpm">'Water Use Calcs'!$G$55</definedName>
    <definedName name="SHeff">'Water Use Calcs'!$G$60</definedName>
    <definedName name="Shower_gpd">'Water Use Calcs'!$E$4:$G$4</definedName>
    <definedName name="shower_pc">'Water Use Calcs'!$G$56</definedName>
    <definedName name="Soft_gpd">'Water Use Calcs'!$B$43</definedName>
    <definedName name="Soft_ref">'Water Use Calcs'!$B$41</definedName>
    <definedName name="sprink_ind">'Water Use Calcs'!$B$32</definedName>
    <definedName name="Static_Pressure">'Water Use Calcs'!$I$24</definedName>
    <definedName name="sWgpd">'Water Use Calcs'!$E$67</definedName>
    <definedName name="sysFactor">'Water Use Calcs'!$I$65</definedName>
    <definedName name="Tavg">'Water Use Calcs'!$E$56</definedName>
    <definedName name="therm_cost">'Water Use Calcs'!$B$57</definedName>
    <definedName name="Tmains">'Water Use Calcs'!$K$7</definedName>
    <definedName name="Tmains_offset">'Water Use Calcs'!$K$51</definedName>
    <definedName name="Toilets_gpd">'Water Use Calcs'!$G$10</definedName>
    <definedName name="Tot_Other">'Water Use Calcs'!$G$12</definedName>
    <definedName name="TotOther_br">'Water Use Calcs'!$B$52</definedName>
    <definedName name="Tset">'Water Use Calcs'!$E$57</definedName>
    <definedName name="Tuse">'Water Use Calcs'!$E$58</definedName>
    <definedName name="VC">'Water Use Calcs'!$I$61</definedName>
    <definedName name="VintFact">'Water Use Calcs'!$K$53</definedName>
    <definedName name="Waste_gpd">'Water Use Calcs'!$E$7:$G$7</definedName>
    <definedName name="WDeff">'Water Use Calcs'!$I$54</definedName>
    <definedName name="WHinT">'Water Use Calcs'!$K$9</definedName>
    <definedName name="WHinTadj">'Water Use Calcs'!$K$8</definedName>
  </definedNames>
  <calcPr calcId="162913"/>
</workbook>
</file>

<file path=xl/calcChain.xml><?xml version="1.0" encoding="utf-8"?>
<calcChain xmlns="http://schemas.openxmlformats.org/spreadsheetml/2006/main">
  <c r="B22" i="1" l="1"/>
  <c r="B13" i="1" l="1"/>
  <c r="B12" i="1"/>
  <c r="E56" i="1" l="1"/>
  <c r="B38" i="1"/>
  <c r="D31" i="1"/>
  <c r="B31" i="1"/>
  <c r="I16" i="1" l="1"/>
  <c r="I54" i="1" l="1"/>
  <c r="I53" i="1"/>
  <c r="G10" i="1" l="1"/>
  <c r="K7" i="1"/>
  <c r="I55" i="1"/>
  <c r="G60" i="1"/>
  <c r="E59" i="1"/>
  <c r="G62" i="1"/>
  <c r="G57" i="1"/>
  <c r="E60" i="1"/>
  <c r="B32" i="1"/>
  <c r="B33" i="1"/>
  <c r="F22" i="1"/>
  <c r="E10" i="1"/>
  <c r="B52" i="1"/>
  <c r="B51" i="1"/>
  <c r="I11" i="1"/>
  <c r="B64" i="1"/>
  <c r="B59" i="1"/>
  <c r="E64" i="1"/>
  <c r="E63" i="1"/>
  <c r="I58" i="1"/>
  <c r="N47" i="1"/>
  <c r="N48" i="1"/>
  <c r="N22" i="1"/>
  <c r="N21" i="1"/>
  <c r="N20" i="1"/>
  <c r="B62" i="1"/>
  <c r="B61" i="1"/>
  <c r="B58" i="1"/>
  <c r="B57" i="1"/>
  <c r="B56" i="1"/>
  <c r="B55" i="1"/>
  <c r="B54" i="1"/>
  <c r="I65" i="1"/>
  <c r="N46" i="1"/>
  <c r="N45" i="1"/>
  <c r="E68" i="1"/>
  <c r="B63" i="1"/>
  <c r="I60" i="1"/>
  <c r="I59" i="1"/>
  <c r="B25" i="1"/>
  <c r="I57" i="1"/>
  <c r="B30" i="1"/>
  <c r="E66" i="1" l="1"/>
  <c r="F12" i="1"/>
  <c r="G12" i="1"/>
  <c r="G58" i="1"/>
  <c r="E69" i="1"/>
  <c r="B20" i="1"/>
  <c r="B17" i="1"/>
  <c r="B26" i="1"/>
  <c r="B10" i="1"/>
  <c r="I64" i="1" s="1"/>
  <c r="B39" i="1"/>
  <c r="B41" i="1" s="1"/>
  <c r="F31" i="1"/>
  <c r="G59" i="1"/>
  <c r="G64" i="1" s="1"/>
  <c r="B60" i="1"/>
  <c r="F30" i="1"/>
  <c r="E12" i="1"/>
  <c r="B65" i="1"/>
  <c r="B19" i="1"/>
  <c r="E61" i="1"/>
  <c r="F17" i="1" s="1"/>
  <c r="F32" i="1" l="1"/>
  <c r="G17" i="1"/>
  <c r="E17" i="1" s="1"/>
  <c r="E67" i="1"/>
  <c r="B11" i="1"/>
  <c r="B34" i="1"/>
  <c r="F33" i="1"/>
  <c r="B21" i="1"/>
  <c r="G7" i="1"/>
  <c r="G9" i="1"/>
  <c r="F9" i="1"/>
  <c r="B66" i="1"/>
  <c r="G8" i="1"/>
  <c r="H30" i="1"/>
  <c r="H31" i="1"/>
  <c r="I66" i="1"/>
  <c r="F19" i="1"/>
  <c r="F34" i="1"/>
  <c r="F37" i="1"/>
  <c r="F8" i="1" l="1"/>
  <c r="I61" i="1"/>
  <c r="K8" i="1" s="1"/>
  <c r="E62" i="1"/>
  <c r="K9" i="1"/>
  <c r="E8" i="1"/>
  <c r="H33" i="1"/>
  <c r="H34" i="1"/>
  <c r="H32" i="1"/>
  <c r="H37" i="1"/>
  <c r="H38" i="1" s="1"/>
  <c r="B29" i="1" s="1"/>
  <c r="F35" i="1"/>
  <c r="F36" i="1" s="1"/>
  <c r="G54" i="1" l="1"/>
  <c r="G53" i="1"/>
  <c r="F7" i="1"/>
  <c r="E7" i="1" s="1"/>
  <c r="H39" i="1"/>
  <c r="H40" i="1" s="1"/>
  <c r="H41" i="1" s="1"/>
  <c r="H42" i="1" s="1"/>
  <c r="H43" i="1" s="1"/>
  <c r="G13" i="1"/>
  <c r="H35" i="1"/>
  <c r="H44" i="1" s="1"/>
  <c r="G4" i="1" l="1"/>
  <c r="G6" i="1"/>
  <c r="G5" i="1"/>
  <c r="F6" i="1"/>
  <c r="F4" i="1"/>
  <c r="F5" i="1"/>
  <c r="B36" i="1"/>
  <c r="H36" i="1"/>
  <c r="G15" i="1" l="1"/>
  <c r="E5" i="1"/>
  <c r="E6" i="1"/>
  <c r="F13" i="1"/>
  <c r="F14" i="1" s="1"/>
  <c r="E4" i="1"/>
  <c r="E13" i="1" s="1"/>
  <c r="B42" i="1"/>
  <c r="B43" i="1" s="1"/>
  <c r="E15" i="1"/>
  <c r="G18" i="1"/>
  <c r="G19" i="1" s="1"/>
  <c r="E18" i="1"/>
  <c r="F21" i="1" l="1"/>
  <c r="I68" i="1"/>
  <c r="F16" i="1"/>
  <c r="G11" i="1"/>
  <c r="G14" i="1" s="1"/>
  <c r="E14" i="1" s="1"/>
  <c r="E11" i="1"/>
  <c r="E19" i="1"/>
  <c r="E21" i="1" l="1"/>
  <c r="E16" i="1"/>
  <c r="E23" i="1" s="1"/>
  <c r="G21" i="1"/>
  <c r="F23" i="1"/>
  <c r="F20" i="1"/>
  <c r="G22" i="1"/>
  <c r="E22" i="1"/>
  <c r="G16" i="1"/>
  <c r="B18" i="1" s="1"/>
  <c r="E20" i="1" l="1"/>
  <c r="G20" i="1"/>
  <c r="G24" i="1" s="1"/>
  <c r="G25" i="1" s="1"/>
  <c r="G23" i="1"/>
  <c r="E24" i="1" s="1"/>
</calcChain>
</file>

<file path=xl/sharedStrings.xml><?xml version="1.0" encoding="utf-8"?>
<sst xmlns="http://schemas.openxmlformats.org/spreadsheetml/2006/main" count="381" uniqueCount="310">
  <si>
    <t>Example Water Use Calculations</t>
  </si>
  <si>
    <t>User input fields are yellow</t>
  </si>
  <si>
    <t>Water Use</t>
  </si>
  <si>
    <t>Home characteristics:</t>
  </si>
  <si>
    <t>Drain Water Heat Recovery:</t>
  </si>
  <si>
    <t>Table 4.2.2.5.2.11(1) Hot water fixture effectiveness</t>
  </si>
  <si>
    <t>Location (pull down)</t>
  </si>
  <si>
    <t>Las Vegas, NV</t>
  </si>
  <si>
    <t>Shower_gpd</t>
  </si>
  <si>
    <t>CFA</t>
  </si>
  <si>
    <t>Showers connected</t>
  </si>
  <si>
    <t>all</t>
  </si>
  <si>
    <t>Plumbing Fixture Description</t>
  </si>
  <si>
    <t>Feff</t>
  </si>
  <si>
    <t>Distribution system</t>
  </si>
  <si>
    <t>std</t>
  </si>
  <si>
    <t>KitchF_gpd</t>
  </si>
  <si>
    <t>Nbr</t>
  </si>
  <si>
    <t>Equal flow?</t>
  </si>
  <si>
    <t>yes</t>
  </si>
  <si>
    <t>HW pipe Insulation</t>
  </si>
  <si>
    <t>none</t>
  </si>
  <si>
    <t>LavF_gpd</t>
  </si>
  <si>
    <t>Nfl</t>
  </si>
  <si>
    <r>
      <t>CSA 55.1 DWHR</t>
    </r>
    <r>
      <rPr>
        <vertAlign val="subscript"/>
        <sz val="11"/>
        <rFont val="Calibri"/>
        <family val="2"/>
        <scheme val="minor"/>
      </rPr>
      <t>eff</t>
    </r>
  </si>
  <si>
    <t>low</t>
  </si>
  <si>
    <t>Shower (gpm)</t>
  </si>
  <si>
    <t>Waste_gpd</t>
  </si>
  <si>
    <t>Bsmt</t>
  </si>
  <si>
    <t>Tmains =</t>
  </si>
  <si>
    <t>Kitch Faucet (gpm)</t>
  </si>
  <si>
    <t>CW_gpd</t>
  </si>
  <si>
    <t>WHinTadj =</t>
  </si>
  <si>
    <t>Table 4.2.2.5.2.11(2) Hot Water Distribution Factors</t>
  </si>
  <si>
    <t>Pull down lists:</t>
  </si>
  <si>
    <t>Lav Faucet efficiency</t>
  </si>
  <si>
    <t>DW_gpd</t>
  </si>
  <si>
    <t>Appliances:</t>
  </si>
  <si>
    <t>WHinT =</t>
  </si>
  <si>
    <t>System type</t>
  </si>
  <si>
    <t xml:space="preserve">none </t>
  </si>
  <si>
    <t>R-3</t>
  </si>
  <si>
    <t>sys type</t>
  </si>
  <si>
    <t>fix eff</t>
  </si>
  <si>
    <t>P-insul</t>
  </si>
  <si>
    <t>WH Type</t>
  </si>
  <si>
    <t>Eq. Flow?</t>
  </si>
  <si>
    <t>#DWHRU</t>
  </si>
  <si>
    <t>Std sys pipe length</t>
  </si>
  <si>
    <t>Toilets_gpd</t>
  </si>
  <si>
    <t>Dishwasher</t>
  </si>
  <si>
    <t>gas</t>
  </si>
  <si>
    <t>no</t>
  </si>
  <si>
    <t>Recirc sys loop length</t>
  </si>
  <si>
    <t>Soft_gpd</t>
  </si>
  <si>
    <t>Clothes washer</t>
  </si>
  <si>
    <t>re, none</t>
  </si>
  <si>
    <t>low-flow</t>
  </si>
  <si>
    <t>elec</t>
  </si>
  <si>
    <t>one</t>
  </si>
  <si>
    <t>Recirc sys branch length</t>
  </si>
  <si>
    <t>WF</t>
  </si>
  <si>
    <t>re, temp</t>
  </si>
  <si>
    <t>Recirc pumpWatts</t>
  </si>
  <si>
    <t>Indoor_gpd</t>
  </si>
  <si>
    <t>Toilets:</t>
  </si>
  <si>
    <t>re, dmd</t>
  </si>
  <si>
    <t>DW heat recovery?</t>
  </si>
  <si>
    <t>Outdoor_gpd</t>
  </si>
  <si>
    <t>gpf</t>
  </si>
  <si>
    <t>re, man</t>
  </si>
  <si>
    <t>Total_gpd</t>
  </si>
  <si>
    <t>Water Softener:</t>
  </si>
  <si>
    <t>Lot Area (ft2)</t>
  </si>
  <si>
    <t>Ref_In =</t>
  </si>
  <si>
    <t>Softener</t>
  </si>
  <si>
    <t>Table 4.2.2.5.2.11(3) Distribution system water use effectiveness</t>
  </si>
  <si>
    <t>cWash</t>
  </si>
  <si>
    <t>CAPw</t>
  </si>
  <si>
    <t>LER</t>
  </si>
  <si>
    <t>$/kWh</t>
  </si>
  <si>
    <t>$/therm</t>
  </si>
  <si>
    <t>AGC</t>
  </si>
  <si>
    <t>Ref_Out =</t>
  </si>
  <si>
    <t>Outdoors:</t>
  </si>
  <si>
    <t>Distribution System Description</t>
  </si>
  <si>
    <t>% Outdoor H2O =</t>
  </si>
  <si>
    <t>Ref_Tot =</t>
  </si>
  <si>
    <t>Std</t>
  </si>
  <si>
    <t>2008</t>
  </si>
  <si>
    <t>Save_Tot =</t>
  </si>
  <si>
    <t>e-Star</t>
  </si>
  <si>
    <t>BestAv</t>
  </si>
  <si>
    <t>Net_Lscape_ratio =</t>
  </si>
  <si>
    <t>Sum of irrigation zone flow rates</t>
  </si>
  <si>
    <t>Lot size (acres) =</t>
  </si>
  <si>
    <t>dWash</t>
  </si>
  <si>
    <t>dWcap</t>
  </si>
  <si>
    <t>DW_EF</t>
  </si>
  <si>
    <t>Ref std sys pipe length =</t>
  </si>
  <si>
    <t>Ref recirc sys loop length =</t>
  </si>
  <si>
    <t>Table 4.2.2.5.2.11(4)  Location factors for DWHRU placement</t>
  </si>
  <si>
    <t>DWHR Placement</t>
  </si>
  <si>
    <t>LocF</t>
  </si>
  <si>
    <t>OutRef_gpd =</t>
  </si>
  <si>
    <t>gal/day</t>
  </si>
  <si>
    <t>both the fixture and water heater</t>
  </si>
  <si>
    <t>Ref_Irr_Area =</t>
  </si>
  <si>
    <t>only the water heater</t>
  </si>
  <si>
    <t>NetET (inches) =</t>
  </si>
  <si>
    <t>zip:</t>
  </si>
  <si>
    <t xml:space="preserve">only the fixture </t>
  </si>
  <si>
    <t>Sprink_ind =</t>
  </si>
  <si>
    <t>Pool_ind =</t>
  </si>
  <si>
    <r>
      <t>Table 4.2.2.5.2.11(5) Annual electricity consumption for hot water recirculation system pumps</t>
    </r>
    <r>
      <rPr>
        <sz val="11"/>
        <rFont val="Calibri"/>
        <family val="2"/>
        <scheme val="minor"/>
      </rPr>
      <t> </t>
    </r>
  </si>
  <si>
    <t>RICI_Rat=</t>
  </si>
  <si>
    <t>Recirculation System Description</t>
  </si>
  <si>
    <t>Efact</t>
  </si>
  <si>
    <t>Rici_Ref=</t>
  </si>
  <si>
    <t>Out_gpd =</t>
  </si>
  <si>
    <t>Ref_Irr_Area</t>
  </si>
  <si>
    <t>Landscape_Area</t>
  </si>
  <si>
    <t>expAref =</t>
  </si>
  <si>
    <t>expA =</t>
  </si>
  <si>
    <t>expBref =</t>
  </si>
  <si>
    <t>expB =</t>
  </si>
  <si>
    <t>1,000 Grains/year_ref</t>
  </si>
  <si>
    <t>gal/1kgrains_ref</t>
  </si>
  <si>
    <t>with both indicaters set to 1</t>
  </si>
  <si>
    <t>with pool indicator set to 0 and sprinkler indicator set to 1</t>
  </si>
  <si>
    <t>gallons/1,000 grains removed</t>
  </si>
  <si>
    <t>difference for pool</t>
  </si>
  <si>
    <t>Table 4.2.2.5.2.11(6) Hot water distribution system annual energy delivery effectiveness</t>
  </si>
  <si>
    <t>1,000 Grains/year_rat</t>
  </si>
  <si>
    <t>without sprinkler but with pool</t>
  </si>
  <si>
    <t>with both indicaters set to 0</t>
  </si>
  <si>
    <t>maximum reduction to reference for landscaped area</t>
  </si>
  <si>
    <t>Dist. System:</t>
  </si>
  <si>
    <t>Operational Factors:</t>
  </si>
  <si>
    <t>Other named variables:</t>
  </si>
  <si>
    <t>refToilets:</t>
  </si>
  <si>
    <t>Fixture Splits:</t>
  </si>
  <si>
    <t>WDeff =</t>
  </si>
  <si>
    <t>VintFact =</t>
  </si>
  <si>
    <t>Leaks:</t>
  </si>
  <si>
    <t>refGPF =</t>
  </si>
  <si>
    <t>FixtureHot</t>
  </si>
  <si>
    <t>Occ =</t>
  </si>
  <si>
    <t>oFrac</t>
  </si>
  <si>
    <t>refFPO=</t>
  </si>
  <si>
    <t>FixtureTot</t>
  </si>
  <si>
    <t>DWHR systems:</t>
  </si>
  <si>
    <r>
      <t>oCD</t>
    </r>
    <r>
      <rPr>
        <vertAlign val="subscript"/>
        <sz val="11"/>
        <rFont val="Calibri"/>
        <family val="2"/>
        <scheme val="minor"/>
      </rPr>
      <t xml:space="preserve">eff </t>
    </r>
    <r>
      <rPr>
        <sz val="11"/>
        <rFont val="Calibri"/>
        <family val="2"/>
        <scheme val="minor"/>
      </rPr>
      <t>=</t>
    </r>
  </si>
  <si>
    <t>Water use:</t>
  </si>
  <si>
    <t>sh_ref_gpm</t>
  </si>
  <si>
    <r>
      <t>DWHR</t>
    </r>
    <r>
      <rPr>
        <vertAlign val="subscript"/>
        <sz val="11"/>
        <rFont val="Calibri"/>
        <family val="2"/>
        <scheme val="minor"/>
      </rPr>
      <t xml:space="preserve">eff </t>
    </r>
    <r>
      <rPr>
        <sz val="11"/>
        <rFont val="Calibri"/>
        <family val="2"/>
        <scheme val="minor"/>
      </rPr>
      <t>=</t>
    </r>
  </si>
  <si>
    <t>Clothes washers &amp; dishwashers:</t>
  </si>
  <si>
    <t>Tavg =</t>
  </si>
  <si>
    <t>shower_pc</t>
  </si>
  <si>
    <t>DWHRinT =</t>
  </si>
  <si>
    <t>CAPw =</t>
  </si>
  <si>
    <t>Tset =</t>
  </si>
  <si>
    <t>faucet_pc</t>
  </si>
  <si>
    <t>Ifrac =</t>
  </si>
  <si>
    <t>Ifrac= 0.56 + 0.015*Nbr - 0.0004*Nbr^2</t>
  </si>
  <si>
    <t>LER =</t>
  </si>
  <si>
    <t>Tuse =</t>
  </si>
  <si>
    <t>Kitch_pc</t>
  </si>
  <si>
    <t>LocF =</t>
  </si>
  <si>
    <t>kWh_cost =</t>
  </si>
  <si>
    <r>
      <t>KitchF</t>
    </r>
    <r>
      <rPr>
        <vertAlign val="subscript"/>
        <sz val="11"/>
        <rFont val="Calibri"/>
        <family val="2"/>
        <scheme val="minor"/>
      </rPr>
      <t>eff</t>
    </r>
    <r>
      <rPr>
        <sz val="11"/>
        <rFont val="Calibri"/>
        <family val="2"/>
        <scheme val="minor"/>
      </rPr>
      <t xml:space="preserve"> =</t>
    </r>
  </si>
  <si>
    <t>Lav_pc</t>
  </si>
  <si>
    <t>FixF =</t>
  </si>
  <si>
    <t>therm_cost =</t>
  </si>
  <si>
    <r>
      <t>LavF</t>
    </r>
    <r>
      <rPr>
        <vertAlign val="subscript"/>
        <sz val="11"/>
        <rFont val="Calibri"/>
        <family val="2"/>
        <scheme val="minor"/>
      </rPr>
      <t>eff</t>
    </r>
    <r>
      <rPr>
        <sz val="11"/>
        <rFont val="Calibri"/>
        <family val="2"/>
        <scheme val="minor"/>
      </rPr>
      <t xml:space="preserve"> =</t>
    </r>
  </si>
  <si>
    <r>
      <t>SH</t>
    </r>
    <r>
      <rPr>
        <vertAlign val="subscript"/>
        <sz val="11"/>
        <rFont val="Calibri"/>
        <family val="2"/>
        <scheme val="minor"/>
      </rPr>
      <t>eff</t>
    </r>
    <r>
      <rPr>
        <sz val="11"/>
        <rFont val="Calibri"/>
        <family val="2"/>
        <scheme val="minor"/>
      </rPr>
      <t xml:space="preserve"> =</t>
    </r>
  </si>
  <si>
    <t>PLC =</t>
  </si>
  <si>
    <t>AGC =</t>
  </si>
  <si>
    <r>
      <t>F</t>
    </r>
    <r>
      <rPr>
        <vertAlign val="subscript"/>
        <sz val="11"/>
        <rFont val="Calibri"/>
        <family val="2"/>
        <scheme val="minor"/>
      </rPr>
      <t>mix</t>
    </r>
    <r>
      <rPr>
        <sz val="11"/>
        <rFont val="Calibri"/>
        <family val="2"/>
        <scheme val="minor"/>
      </rPr>
      <t xml:space="preserve"> =</t>
    </r>
  </si>
  <si>
    <t>kitch</t>
  </si>
  <si>
    <t>PLCfactor =</t>
  </si>
  <si>
    <t>NCY =</t>
  </si>
  <si>
    <r>
      <t>adjF</t>
    </r>
    <r>
      <rPr>
        <vertAlign val="subscript"/>
        <sz val="11"/>
        <rFont val="Calibri"/>
        <family val="2"/>
        <scheme val="minor"/>
      </rPr>
      <t xml:space="preserve">mix </t>
    </r>
    <r>
      <rPr>
        <sz val="11"/>
        <rFont val="Calibri"/>
        <family val="2"/>
        <scheme val="minor"/>
      </rPr>
      <t>=</t>
    </r>
  </si>
  <si>
    <t>lav</t>
  </si>
  <si>
    <t>Piping:</t>
  </si>
  <si>
    <t>ACY =</t>
  </si>
  <si>
    <t>kitch_ref_gpm</t>
  </si>
  <si>
    <t>pRatio =</t>
  </si>
  <si>
    <t>nWgpd = 9.8*Nbr^0.43</t>
  </si>
  <si>
    <t>dWcap =</t>
  </si>
  <si>
    <t>refFgpd =</t>
  </si>
  <si>
    <t>F_eff =</t>
  </si>
  <si>
    <t>sysFactor =</t>
  </si>
  <si>
    <t>nFgpd = 14.6 + 10.0*Nbr</t>
  </si>
  <si>
    <t>DW_EF =</t>
  </si>
  <si>
    <t>Operational:</t>
  </si>
  <si>
    <t>pLength =</t>
  </si>
  <si>
    <t>refDWgpd =</t>
  </si>
  <si>
    <t>HERS calcs:</t>
  </si>
  <si>
    <t>refCWgpd =</t>
  </si>
  <si>
    <t>gdp_ratio =</t>
  </si>
  <si>
    <t>DWgpd =</t>
  </si>
  <si>
    <t>oEWfact =</t>
  </si>
  <si>
    <t>CWgpd =</t>
  </si>
  <si>
    <t>sEWfact =</t>
  </si>
  <si>
    <t>Location</t>
  </si>
  <si>
    <t>Temp</t>
  </si>
  <si>
    <t>Zip</t>
  </si>
  <si>
    <t>Net_ET</t>
  </si>
  <si>
    <t>Hardness_value</t>
  </si>
  <si>
    <t>181-250</t>
  </si>
  <si>
    <t>Dallas, TX</t>
  </si>
  <si>
    <t>121-180</t>
  </si>
  <si>
    <t>Denver, CO</t>
  </si>
  <si>
    <t>61-120</t>
  </si>
  <si>
    <t>Houston, TX</t>
  </si>
  <si>
    <t>Phoenix, AZ</t>
  </si>
  <si>
    <t>San Francisco, CA</t>
  </si>
  <si>
    <t>0-60</t>
  </si>
  <si>
    <t>Scottsdale, AZ</t>
  </si>
  <si>
    <t>Tacoma, WA</t>
  </si>
  <si>
    <t>Use RICI?</t>
  </si>
  <si>
    <t>refSofgpd</t>
  </si>
  <si>
    <t>Hardness_value(mg/liter)</t>
  </si>
  <si>
    <t>Automatic Irrigation?</t>
  </si>
  <si>
    <t>Inground Pool?</t>
  </si>
  <si>
    <t>Smart controller?</t>
  </si>
  <si>
    <t>refWgpd =</t>
  </si>
  <si>
    <t>oWgpd =</t>
  </si>
  <si>
    <t>sWgpd =</t>
  </si>
  <si>
    <t>Landscaped Area (ft2)</t>
  </si>
  <si>
    <t>pool contibution</t>
  </si>
  <si>
    <t>adjust for smart controller</t>
  </si>
  <si>
    <t>adjust for RICI</t>
  </si>
  <si>
    <t>base outdoor GPD</t>
  </si>
  <si>
    <t>adjusted base outdoor contribution</t>
  </si>
  <si>
    <t>Zone flow rates</t>
  </si>
  <si>
    <t>gal/removed</t>
  </si>
  <si>
    <t>Other_gpd</t>
  </si>
  <si>
    <t>HotOther_br =</t>
  </si>
  <si>
    <t>TotOther_br =</t>
  </si>
  <si>
    <t>Static Pressure</t>
  </si>
  <si>
    <t>adjust for audit</t>
  </si>
  <si>
    <t>Prof Audit?</t>
  </si>
  <si>
    <t>EP_gpd</t>
  </si>
  <si>
    <t>Orlando, FL</t>
  </si>
  <si>
    <t>Sacramento, CA</t>
  </si>
  <si>
    <t>St. George, UT</t>
  </si>
  <si>
    <t>Austin, TX</t>
  </si>
  <si>
    <t>Tmains_offset</t>
  </si>
  <si>
    <t>Hardness</t>
  </si>
  <si>
    <t>Y/N</t>
  </si>
  <si>
    <t>H2O_in =</t>
  </si>
  <si>
    <t>H2O_Out =</t>
  </si>
  <si>
    <t>H2O_Tot =</t>
  </si>
  <si>
    <t>Tampa, FL</t>
  </si>
  <si>
    <t>Castle Rock, CO</t>
  </si>
  <si>
    <t>Roseville, CA</t>
  </si>
  <si>
    <t>Irvine, CA</t>
  </si>
  <si>
    <t>Riverside, CA</t>
  </si>
  <si>
    <t>Cold Wtr</t>
  </si>
  <si>
    <t>Hot Wtr</t>
  </si>
  <si>
    <t>Total Wtr</t>
  </si>
  <si>
    <r>
      <t>HERS</t>
    </r>
    <r>
      <rPr>
        <b/>
        <vertAlign val="subscript"/>
        <sz val="11"/>
        <color theme="0"/>
        <rFont val="Calibri"/>
        <family val="2"/>
        <scheme val="minor"/>
      </rPr>
      <t>H2O</t>
    </r>
    <r>
      <rPr>
        <b/>
        <sz val="11"/>
        <color theme="0"/>
        <rFont val="Calibri"/>
        <family val="2"/>
        <scheme val="minor"/>
      </rPr>
      <t xml:space="preserve"> =</t>
    </r>
  </si>
  <si>
    <t>* Gallons per year</t>
  </si>
  <si>
    <t>Tot_Ref_Irr_ratio =</t>
  </si>
  <si>
    <t>H2O Price</t>
  </si>
  <si>
    <t>H2Osave* =</t>
  </si>
  <si>
    <t>$save** =</t>
  </si>
  <si>
    <t>** $ per year</t>
  </si>
  <si>
    <t>$/CCF (1 CCF = 748.05 gallons)</t>
  </si>
  <si>
    <t>Instructions:</t>
  </si>
  <si>
    <t>Input fields:</t>
  </si>
  <si>
    <t>Using the pull-down menu, enter the nearest avalable city</t>
  </si>
  <si>
    <t>Hot Water Dist. System:</t>
  </si>
  <si>
    <t>std=standard systems</t>
  </si>
  <si>
    <t>re,none=no recirculation or timer-based recirc.</t>
  </si>
  <si>
    <t>re,temp=recirc with temperature control sensor</t>
  </si>
  <si>
    <t>re,dmd=recirc with demand control (presence sensor)</t>
  </si>
  <si>
    <t>re,man=recirc with demand control (manual switch)</t>
  </si>
  <si>
    <t>Select "none" for no pipe insulation on the hot water line. Select "R-3" for R-3 or greater pipe insulation</t>
  </si>
  <si>
    <t>Enter average flow rate of all shower heads in the rated home.</t>
  </si>
  <si>
    <t>Enter kitchen faucet flow rate</t>
  </si>
  <si>
    <t xml:space="preserve">std=2.2 gpm </t>
  </si>
  <si>
    <t>low flow = 2.0 gpm or less</t>
  </si>
  <si>
    <t>Measured length of hot water piping from the hot water heater to the farthest hot water fixture, measured longitudinally from plans, assuming the hot water piping does not run diagonally, plus 10 feet of piping for each floor level, plus 5 feet of piping for unconditioned basements (if any)</t>
  </si>
  <si>
    <t>Hot water recirculation loop piping length including both supply and return sides of the loop, measured longitudinally from plans, assuming the hot water piping does not run diagonally, plus 20 feet of piping for each floor level greater than one plus 10 feet of piping for unconditioned basements.</t>
  </si>
  <si>
    <t>Measured length of the branch hot water piping from the recirculation loop to the farthest hot water fixture from the recirculation loop, measured longitudinally from plans, assuming the branch hot water piping does not run diagonally</t>
  </si>
  <si>
    <t xml:space="preserve">Enter Zero if no recirc system in rated home. </t>
  </si>
  <si>
    <t>Default value=50 watts.</t>
  </si>
  <si>
    <t xml:space="preserve">Indicate whether or not the rated home has a drain water heat recovery system. </t>
  </si>
  <si>
    <t xml:space="preserve">Enter the entire area of the lot where the rated home is located (in square feet). Can typically be obtained from a site plan. </t>
  </si>
  <si>
    <t>Enter the area of the Lot that will be landscaped.</t>
  </si>
  <si>
    <t>Enter the rated home's conditioned floor area. (Will match the CFA for the HERS rating)</t>
  </si>
  <si>
    <t>Enter the number of bedrooms in the rated home</t>
  </si>
  <si>
    <t>Enter the number of conditioned floor levels in the rated home, including a conditioned basement (if present)</t>
  </si>
  <si>
    <t xml:space="preserve">Indicate whether or not the home has an unconditioned basement by entering "0" for NO basement OR "1" to indicate the rated home has a basement. Enter "0" for crawlspace only, but enter "1" for a combination of an unconditioned basement and crawlspace. </t>
  </si>
  <si>
    <t xml:space="preserve">If the rated home has a drain water heat recovery system, indicate whether all showers are connected or only one shower is connected to the system. </t>
  </si>
  <si>
    <t>?</t>
  </si>
  <si>
    <t xml:space="preserve">Indicate whether the rated home's dishwasher is "Standard" (std), "Energy Star" (e-Star) or "Best Available (BestAv). </t>
  </si>
  <si>
    <t>Indicate whether the rated home's clothes washer is: "Standard" (std), manufactured after 2008 ("2008"), is "Energy Star" (e-Star) OR the "best available on the market" (BestAv)</t>
  </si>
  <si>
    <t xml:space="preserve">Enter the average gallons per flush of all toilets in the rated home. </t>
  </si>
  <si>
    <t>Indicate whether or not the rated home has a Water Softener.</t>
  </si>
  <si>
    <t xml:space="preserve">Indicate "Yes" or "No" to indicate whether or not the rated home has a inground pool. </t>
  </si>
  <si>
    <t>Indicate "Yes" or "No" to whether or not the rated home has an AUTOMATIC irrigation system.</t>
  </si>
  <si>
    <t>Indicate "Yes" or "No" as to whether or not the Automatic Irrigation system has a "Smart Controller".</t>
  </si>
  <si>
    <t>RICI stands for "Residential Irrigation Capacity Index". Only select "Yes" if the RICI has been calculated by an Irrigation Professional and documentation provided to the rater.</t>
  </si>
  <si>
    <t>Rater to obtain documentation from the irrigation installer indicating the number of irrigation zones and the flow rates for each zone. The number entered is the sum of flow rates in all zones.</t>
  </si>
  <si>
    <t xml:space="preserve">Only select "Yes" if a certified irrigation professional has conducted an audit of the irrigation system at the rated home. </t>
  </si>
  <si>
    <t>Enter the static pressure at the rated home. 1. A pressure tank is installed and set to 60 psi or less; OR 2. a pressure regulating valve is installed and tested to 60 psi or less; OR 3. written documentation from the local water supplier that static presssure does not exceed 60 psi; OR 4. conduct a static pressure test on the water line and enter that number here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</si>
</sst>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_);\(&quot;$&quot;#,##0\)"/>
    <numFmt numFmtId="43" formatCode="_(* #,##0.00_);_(* \(#,##0.00\);_(* &quot;-&quot;??_);_(@_)"/>
    <numFmt numFmtId="164" formatCode="0.0"/>
    <numFmt numFmtId="165" formatCode="0.0000"/>
    <numFmt numFmtId="166" formatCode="0.0%"/>
    <numFmt numFmtId="167" formatCode="0.000"/>
    <numFmt numFmtId="168" formatCode="&quot;$&quot;#,##0.00"/>
    <numFmt numFmtId="169" formatCode="&quot;$&quot;#,##0"/>
  </numFmts>
  <fonts count="46" x14ac:knownFonts="1">
    <font>
      <sz val="11"/>
      <color theme="1"/>
      <name val="Calibri"/>
      <family val="2"/>
      <scheme val="minor"/>
    </font>
    <font>
      <b/>
      <sz val="11"/>
      <color theme="1"/>
      <name val="Calibri"/>
      <family val="2"/>
      <scheme val="minor"/>
    </font>
    <font>
      <sz val="11"/>
      <name val="Calibri"/>
      <family val="2"/>
      <scheme val="minor"/>
    </font>
    <font>
      <b/>
      <sz val="11"/>
      <name val="Calibri"/>
      <family val="2"/>
      <scheme val="minor"/>
    </font>
    <font>
      <b/>
      <sz val="11"/>
      <color rgb="FFC00000"/>
      <name val="Calibri"/>
      <family val="2"/>
      <scheme val="minor"/>
    </font>
    <font>
      <b/>
      <sz val="14"/>
      <name val="Calibri"/>
      <family val="2"/>
      <scheme val="minor"/>
    </font>
    <font>
      <b/>
      <u/>
      <sz val="11"/>
      <name val="Calibri"/>
      <family val="2"/>
      <scheme val="minor"/>
    </font>
    <font>
      <u/>
      <sz val="11"/>
      <name val="Calibri"/>
      <family val="2"/>
      <scheme val="minor"/>
    </font>
    <font>
      <b/>
      <u/>
      <sz val="11"/>
      <color theme="1"/>
      <name val="Calibri"/>
      <family val="2"/>
      <scheme val="minor"/>
    </font>
    <font>
      <u/>
      <sz val="11"/>
      <color theme="1"/>
      <name val="Calibri"/>
      <family val="2"/>
      <scheme val="minor"/>
    </font>
    <font>
      <i/>
      <sz val="11"/>
      <color theme="1"/>
      <name val="Calibri"/>
      <family val="2"/>
      <scheme val="minor"/>
    </font>
    <font>
      <b/>
      <u/>
      <sz val="11"/>
      <color rgb="FF000000"/>
      <name val="Calibri"/>
      <family val="2"/>
      <scheme val="minor"/>
    </font>
    <font>
      <u/>
      <sz val="11"/>
      <color rgb="FF000000"/>
      <name val="Calibri"/>
      <family val="2"/>
      <scheme val="minor"/>
    </font>
    <font>
      <sz val="11"/>
      <color rgb="FFFF0000"/>
      <name val="Calibri"/>
      <family val="2"/>
      <scheme val="minor"/>
    </font>
    <font>
      <b/>
      <u/>
      <sz val="11"/>
      <color theme="1"/>
      <name val="Courier New"/>
      <family val="3"/>
    </font>
    <font>
      <b/>
      <sz val="12"/>
      <name val="Calibri"/>
      <family val="2"/>
      <scheme val="minor"/>
    </font>
    <font>
      <sz val="12"/>
      <color theme="1"/>
      <name val="Calibri"/>
      <family val="2"/>
      <scheme val="minor"/>
    </font>
    <font>
      <sz val="11"/>
      <color rgb="FF009900"/>
      <name val="Calibri"/>
      <family val="2"/>
      <scheme val="minor"/>
    </font>
    <font>
      <vertAlign val="subscript"/>
      <sz val="11"/>
      <name val="Calibri"/>
      <family val="2"/>
      <scheme val="minor"/>
    </font>
    <font>
      <sz val="11"/>
      <name val="Calibri"/>
      <family val="2"/>
    </font>
    <font>
      <sz val="10"/>
      <name val="Arial"/>
      <family val="2"/>
    </font>
    <font>
      <sz val="10"/>
      <name val="Arial"/>
      <family val="2"/>
    </font>
    <font>
      <i/>
      <sz val="11"/>
      <name val="Calibri"/>
      <family val="2"/>
      <scheme val="minor"/>
    </font>
    <font>
      <b/>
      <sz val="11"/>
      <color rgb="FF0070C0"/>
      <name val="Calibri"/>
      <family val="2"/>
    </font>
    <font>
      <b/>
      <sz val="11"/>
      <color rgb="FF0070C0"/>
      <name val="Calibri"/>
      <family val="2"/>
      <scheme val="minor"/>
    </font>
    <font>
      <b/>
      <sz val="11"/>
      <color theme="5" tint="-0.249977111117893"/>
      <name val="Calibri"/>
      <family val="2"/>
      <scheme val="minor"/>
    </font>
    <font>
      <sz val="11"/>
      <color theme="1"/>
      <name val="Calibri"/>
      <family val="2"/>
      <scheme val="minor"/>
    </font>
    <font>
      <sz val="11"/>
      <color rgb="FFC00000"/>
      <name val="Calibri"/>
      <family val="2"/>
      <scheme val="minor"/>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b/>
      <vertAlign val="subscript"/>
      <sz val="11"/>
      <color theme="0"/>
      <name val="Calibri"/>
      <family val="2"/>
      <scheme val="minor"/>
    </font>
    <font>
      <b/>
      <sz val="14"/>
      <color theme="1"/>
      <name val="Calibri"/>
      <family val="2"/>
      <scheme val="minor"/>
    </font>
    <font>
      <sz val="14"/>
      <color theme="1"/>
      <name val="Calibri"/>
      <family val="2"/>
      <scheme val="minor"/>
    </font>
    <font>
      <b/>
      <sz val="14"/>
      <color rgb="FF0070C0"/>
      <name val="Calibri"/>
      <family val="2"/>
      <scheme val="minor"/>
    </font>
  </fonts>
  <fills count="42">
    <fill>
      <patternFill patternType="none"/>
    </fill>
    <fill>
      <patternFill patternType="gray125"/>
    </fill>
    <fill>
      <patternFill patternType="solid">
        <fgColor theme="0" tint="-0.14999847407452621"/>
        <bgColor indexed="64"/>
      </patternFill>
    </fill>
    <fill>
      <patternFill patternType="solid">
        <fgColor rgb="FFFFFF99"/>
        <bgColor indexed="64"/>
      </patternFill>
    </fill>
    <fill>
      <patternFill patternType="solid">
        <fgColor rgb="FFCCFFCC"/>
        <bgColor indexed="64"/>
      </patternFill>
    </fill>
    <fill>
      <patternFill patternType="solid">
        <fgColor theme="9" tint="0.79998168889431442"/>
        <bgColor indexed="64"/>
      </patternFill>
    </fill>
    <fill>
      <patternFill patternType="solid">
        <fgColor rgb="FFFFFFCC"/>
        <bgColor indexed="64"/>
      </patternFill>
    </fill>
    <fill>
      <patternFill patternType="solid">
        <fgColor rgb="FFCCECF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6" tint="0.79998168889431442"/>
        <bgColor indexed="64"/>
      </patternFill>
    </fill>
    <fill>
      <patternFill patternType="solid">
        <fgColor theme="8" tint="0.79998168889431442"/>
        <bgColor indexed="64"/>
      </patternFill>
    </fill>
    <fill>
      <patternFill patternType="solid">
        <fgColor rgb="FF0070C0"/>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medium">
        <color indexed="64"/>
      </left>
      <right/>
      <top style="medium">
        <color indexed="64"/>
      </top>
      <bottom/>
      <diagonal/>
    </border>
    <border>
      <left/>
      <right/>
      <top/>
      <bottom style="thin">
        <color indexed="64"/>
      </bottom>
      <diagonal/>
    </border>
    <border>
      <left style="thin">
        <color indexed="64"/>
      </left>
      <right/>
      <top/>
      <bottom/>
      <diagonal/>
    </border>
    <border>
      <left style="medium">
        <color auto="1"/>
      </left>
      <right style="medium">
        <color auto="1"/>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style="medium">
        <color indexed="64"/>
      </bottom>
      <diagonal/>
    </border>
    <border>
      <left/>
      <right/>
      <top style="medium">
        <color indexed="64"/>
      </top>
      <bottom style="medium">
        <color indexed="64"/>
      </bottom>
      <diagonal/>
    </border>
  </borders>
  <cellStyleXfs count="50">
    <xf numFmtId="0" fontId="0" fillId="0" borderId="0"/>
    <xf numFmtId="0" fontId="20" fillId="0" borderId="0">
      <alignment vertical="top"/>
    </xf>
    <xf numFmtId="3" fontId="20" fillId="0" borderId="0" applyFont="0" applyFill="0" applyBorder="0" applyAlignment="0" applyProtection="0"/>
    <xf numFmtId="5" fontId="20" fillId="0" borderId="0" applyFont="0" applyFill="0" applyBorder="0" applyAlignment="0" applyProtection="0"/>
    <xf numFmtId="14" fontId="20" fillId="0" borderId="0" applyFont="0" applyFill="0" applyBorder="0" applyAlignment="0" applyProtection="0"/>
    <xf numFmtId="2" fontId="20" fillId="0" borderId="0" applyFont="0" applyFill="0" applyBorder="0" applyAlignment="0" applyProtection="0"/>
    <xf numFmtId="0" fontId="21" fillId="0" borderId="0"/>
    <xf numFmtId="9" fontId="26" fillId="0" borderId="0" applyFont="0" applyFill="0" applyBorder="0" applyAlignment="0" applyProtection="0"/>
    <xf numFmtId="0" fontId="28" fillId="0" borderId="0" applyNumberFormat="0" applyFill="0" applyBorder="0" applyAlignment="0" applyProtection="0"/>
    <xf numFmtId="0" fontId="29" fillId="0" borderId="34" applyNumberFormat="0" applyFill="0" applyAlignment="0" applyProtection="0"/>
    <xf numFmtId="0" fontId="30" fillId="0" borderId="35" applyNumberFormat="0" applyFill="0" applyAlignment="0" applyProtection="0"/>
    <xf numFmtId="0" fontId="31" fillId="0" borderId="36" applyNumberFormat="0" applyFill="0" applyAlignment="0" applyProtection="0"/>
    <xf numFmtId="0" fontId="31" fillId="0" borderId="0" applyNumberFormat="0" applyFill="0" applyBorder="0" applyAlignment="0" applyProtection="0"/>
    <xf numFmtId="0" fontId="32" fillId="8" borderId="0" applyNumberFormat="0" applyBorder="0" applyAlignment="0" applyProtection="0"/>
    <xf numFmtId="0" fontId="33" fillId="9" borderId="0" applyNumberFormat="0" applyBorder="0" applyAlignment="0" applyProtection="0"/>
    <xf numFmtId="0" fontId="34" fillId="10" borderId="0" applyNumberFormat="0" applyBorder="0" applyAlignment="0" applyProtection="0"/>
    <xf numFmtId="0" fontId="35" fillId="11" borderId="37" applyNumberFormat="0" applyAlignment="0" applyProtection="0"/>
    <xf numFmtId="0" fontId="36" fillId="12" borderId="38" applyNumberFormat="0" applyAlignment="0" applyProtection="0"/>
    <xf numFmtId="0" fontId="37" fillId="12" borderId="37" applyNumberFormat="0" applyAlignment="0" applyProtection="0"/>
    <xf numFmtId="0" fontId="38" fillId="0" borderId="39" applyNumberFormat="0" applyFill="0" applyAlignment="0" applyProtection="0"/>
    <xf numFmtId="0" fontId="39" fillId="13" borderId="40" applyNumberFormat="0" applyAlignment="0" applyProtection="0"/>
    <xf numFmtId="0" fontId="13" fillId="0" borderId="0" applyNumberFormat="0" applyFill="0" applyBorder="0" applyAlignment="0" applyProtection="0"/>
    <xf numFmtId="0" fontId="26" fillId="14" borderId="41" applyNumberFormat="0" applyFont="0" applyAlignment="0" applyProtection="0"/>
    <xf numFmtId="0" fontId="40" fillId="0" borderId="0" applyNumberFormat="0" applyFill="0" applyBorder="0" applyAlignment="0" applyProtection="0"/>
    <xf numFmtId="0" fontId="1" fillId="0" borderId="42" applyNumberFormat="0" applyFill="0" applyAlignment="0" applyProtection="0"/>
    <xf numFmtId="0" fontId="41" fillId="15" borderId="0" applyNumberFormat="0" applyBorder="0" applyAlignment="0" applyProtection="0"/>
    <xf numFmtId="0" fontId="26" fillId="16" borderId="0" applyNumberFormat="0" applyBorder="0" applyAlignment="0" applyProtection="0"/>
    <xf numFmtId="0" fontId="26" fillId="17" borderId="0" applyNumberFormat="0" applyBorder="0" applyAlignment="0" applyProtection="0"/>
    <xf numFmtId="0" fontId="41" fillId="18" borderId="0" applyNumberFormat="0" applyBorder="0" applyAlignment="0" applyProtection="0"/>
    <xf numFmtId="0" fontId="41" fillId="19" borderId="0" applyNumberFormat="0" applyBorder="0" applyAlignment="0" applyProtection="0"/>
    <xf numFmtId="0" fontId="26" fillId="20" borderId="0" applyNumberFormat="0" applyBorder="0" applyAlignment="0" applyProtection="0"/>
    <xf numFmtId="0" fontId="26" fillId="21" borderId="0" applyNumberFormat="0" applyBorder="0" applyAlignment="0" applyProtection="0"/>
    <xf numFmtId="0" fontId="41" fillId="22" borderId="0" applyNumberFormat="0" applyBorder="0" applyAlignment="0" applyProtection="0"/>
    <xf numFmtId="0" fontId="41" fillId="23" borderId="0" applyNumberFormat="0" applyBorder="0" applyAlignment="0" applyProtection="0"/>
    <xf numFmtId="0" fontId="26" fillId="24" borderId="0" applyNumberFormat="0" applyBorder="0" applyAlignment="0" applyProtection="0"/>
    <xf numFmtId="0" fontId="26" fillId="25" borderId="0" applyNumberFormat="0" applyBorder="0" applyAlignment="0" applyProtection="0"/>
    <xf numFmtId="0" fontId="41" fillId="26" borderId="0" applyNumberFormat="0" applyBorder="0" applyAlignment="0" applyProtection="0"/>
    <xf numFmtId="0" fontId="41" fillId="27" borderId="0" applyNumberFormat="0" applyBorder="0" applyAlignment="0" applyProtection="0"/>
    <xf numFmtId="0" fontId="26" fillId="28" borderId="0" applyNumberFormat="0" applyBorder="0" applyAlignment="0" applyProtection="0"/>
    <xf numFmtId="0" fontId="26" fillId="29" borderId="0" applyNumberFormat="0" applyBorder="0" applyAlignment="0" applyProtection="0"/>
    <xf numFmtId="0" fontId="41" fillId="30" borderId="0" applyNumberFormat="0" applyBorder="0" applyAlignment="0" applyProtection="0"/>
    <xf numFmtId="0" fontId="41" fillId="31" borderId="0" applyNumberFormat="0" applyBorder="0" applyAlignment="0" applyProtection="0"/>
    <xf numFmtId="0" fontId="26" fillId="32" borderId="0" applyNumberFormat="0" applyBorder="0" applyAlignment="0" applyProtection="0"/>
    <xf numFmtId="0" fontId="26" fillId="33" borderId="0" applyNumberFormat="0" applyBorder="0" applyAlignment="0" applyProtection="0"/>
    <xf numFmtId="0" fontId="41" fillId="34" borderId="0" applyNumberFormat="0" applyBorder="0" applyAlignment="0" applyProtection="0"/>
    <xf numFmtId="0" fontId="41" fillId="35" borderId="0" applyNumberFormat="0" applyBorder="0" applyAlignment="0" applyProtection="0"/>
    <xf numFmtId="0" fontId="26" fillId="36" borderId="0" applyNumberFormat="0" applyBorder="0" applyAlignment="0" applyProtection="0"/>
    <xf numFmtId="0" fontId="26" fillId="37" borderId="0" applyNumberFormat="0" applyBorder="0" applyAlignment="0" applyProtection="0"/>
    <xf numFmtId="0" fontId="41" fillId="38" borderId="0" applyNumberFormat="0" applyBorder="0" applyAlignment="0" applyProtection="0"/>
    <xf numFmtId="43" fontId="26" fillId="0" borderId="0" applyFont="0" applyFill="0" applyBorder="0" applyAlignment="0" applyProtection="0"/>
  </cellStyleXfs>
  <cellXfs count="258">
    <xf numFmtId="0" fontId="0" fillId="0" borderId="0" xfId="0"/>
    <xf numFmtId="0" fontId="0" fillId="0" borderId="0" xfId="0" applyAlignment="1">
      <alignment horizontal="left" indent="1"/>
    </xf>
    <xf numFmtId="0" fontId="0" fillId="0" borderId="0" xfId="0" applyFont="1"/>
    <xf numFmtId="0" fontId="2" fillId="0" borderId="0" xfId="0" applyFont="1"/>
    <xf numFmtId="0" fontId="3" fillId="3" borderId="1" xfId="0" applyFont="1" applyFill="1" applyBorder="1" applyAlignment="1" applyProtection="1">
      <alignment horizontal="center"/>
      <protection locked="0"/>
    </xf>
    <xf numFmtId="0" fontId="2" fillId="0" borderId="0" xfId="0" applyFont="1" applyAlignment="1">
      <alignment horizontal="left" indent="1"/>
    </xf>
    <xf numFmtId="2" fontId="2" fillId="0" borderId="0" xfId="0" applyNumberFormat="1" applyFont="1"/>
    <xf numFmtId="166" fontId="2" fillId="0" borderId="0" xfId="0" applyNumberFormat="1" applyFont="1"/>
    <xf numFmtId="0" fontId="7" fillId="0" borderId="0" xfId="0" applyFont="1" applyBorder="1" applyAlignment="1">
      <alignment vertical="center" wrapText="1"/>
    </xf>
    <xf numFmtId="0" fontId="7" fillId="0" borderId="0" xfId="0" applyFont="1" applyBorder="1" applyAlignment="1">
      <alignment horizontal="center" vertical="center" wrapText="1"/>
    </xf>
    <xf numFmtId="0" fontId="2" fillId="0" borderId="0" xfId="0" applyFont="1" applyAlignment="1">
      <alignment horizontal="right"/>
    </xf>
    <xf numFmtId="0" fontId="6" fillId="0" borderId="0" xfId="0" applyFont="1" applyAlignment="1">
      <alignment horizontal="left" vertical="center"/>
    </xf>
    <xf numFmtId="0" fontId="0" fillId="0" borderId="0" xfId="0" applyAlignment="1">
      <alignment horizontal="center"/>
    </xf>
    <xf numFmtId="0" fontId="3" fillId="0" borderId="0" xfId="0" applyFont="1"/>
    <xf numFmtId="0" fontId="3" fillId="0" borderId="0" xfId="0" applyFont="1" applyAlignment="1">
      <alignment horizontal="left" indent="1"/>
    </xf>
    <xf numFmtId="0" fontId="2" fillId="0" borderId="0" xfId="0" applyFont="1" applyAlignment="1">
      <alignment horizontal="center"/>
    </xf>
    <xf numFmtId="0" fontId="6" fillId="0" borderId="1" xfId="0" applyFont="1" applyBorder="1" applyAlignment="1">
      <alignment vertical="center" wrapText="1"/>
    </xf>
    <xf numFmtId="0" fontId="8" fillId="0" borderId="0" xfId="0" applyFont="1" applyBorder="1" applyAlignment="1">
      <alignment horizontal="left" vertical="center"/>
    </xf>
    <xf numFmtId="0" fontId="8" fillId="0" borderId="1" xfId="0" applyFont="1" applyBorder="1" applyAlignment="1">
      <alignment vertical="center" wrapText="1"/>
    </xf>
    <xf numFmtId="0" fontId="8" fillId="0" borderId="1" xfId="0" applyFont="1" applyBorder="1" applyAlignment="1">
      <alignment horizontal="center" vertical="center" wrapText="1"/>
    </xf>
    <xf numFmtId="0" fontId="9" fillId="0" borderId="1" xfId="0" applyFont="1" applyBorder="1" applyAlignment="1">
      <alignment vertical="center" wrapText="1"/>
    </xf>
    <xf numFmtId="164" fontId="9"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0" fontId="7" fillId="0" borderId="1" xfId="0" applyFont="1" applyBorder="1" applyAlignment="1">
      <alignment vertical="center" wrapText="1"/>
    </xf>
    <xf numFmtId="0" fontId="7" fillId="0" borderId="1" xfId="0" applyFont="1" applyBorder="1" applyAlignment="1">
      <alignment horizontal="center" vertical="center" wrapText="1"/>
    </xf>
    <xf numFmtId="167" fontId="2" fillId="0" borderId="0" xfId="0" applyNumberFormat="1" applyFont="1"/>
    <xf numFmtId="0" fontId="2" fillId="0" borderId="0" xfId="0" applyFont="1" applyAlignment="1">
      <alignment horizontal="right" indent="1"/>
    </xf>
    <xf numFmtId="165" fontId="2" fillId="0" borderId="11" xfId="0" applyNumberFormat="1" applyFont="1" applyBorder="1"/>
    <xf numFmtId="0" fontId="2" fillId="0" borderId="11" xfId="0" applyFont="1" applyBorder="1"/>
    <xf numFmtId="0" fontId="11" fillId="0" borderId="1" xfId="0" applyFont="1" applyBorder="1" applyAlignment="1">
      <alignment horizontal="center" vertical="center"/>
    </xf>
    <xf numFmtId="0" fontId="12" fillId="0" borderId="1" xfId="0" applyFont="1" applyBorder="1" applyAlignment="1">
      <alignment vertical="center"/>
    </xf>
    <xf numFmtId="0" fontId="12" fillId="0" borderId="1" xfId="0" applyFont="1" applyBorder="1" applyAlignment="1">
      <alignment vertical="center" wrapText="1"/>
    </xf>
    <xf numFmtId="0" fontId="6" fillId="0" borderId="0" xfId="0" applyFont="1" applyBorder="1" applyAlignment="1">
      <alignment horizontal="left"/>
    </xf>
    <xf numFmtId="164" fontId="2" fillId="0" borderId="0" xfId="0" applyNumberFormat="1" applyFont="1"/>
    <xf numFmtId="2" fontId="0" fillId="0" borderId="0" xfId="0" applyNumberFormat="1" applyFont="1" applyFill="1" applyBorder="1" applyAlignment="1">
      <alignment horizontal="center"/>
    </xf>
    <xf numFmtId="167" fontId="2" fillId="0" borderId="0" xfId="0" applyNumberFormat="1" applyFont="1" applyAlignment="1">
      <alignment horizontal="right"/>
    </xf>
    <xf numFmtId="0" fontId="6" fillId="0" borderId="0" xfId="0" applyFont="1"/>
    <xf numFmtId="1" fontId="2" fillId="0" borderId="0" xfId="0" applyNumberFormat="1" applyFont="1" applyFill="1" applyAlignment="1">
      <alignment horizontal="right"/>
    </xf>
    <xf numFmtId="0" fontId="2" fillId="0" borderId="0" xfId="0" applyFont="1" applyBorder="1" applyAlignment="1">
      <alignment horizontal="center"/>
    </xf>
    <xf numFmtId="0" fontId="14" fillId="0" borderId="0" xfId="0" applyFont="1"/>
    <xf numFmtId="0" fontId="0" fillId="0" borderId="0" xfId="0" applyFont="1" applyAlignment="1">
      <alignment horizontal="center"/>
    </xf>
    <xf numFmtId="0" fontId="2" fillId="0" borderId="0" xfId="0" applyFont="1" applyBorder="1"/>
    <xf numFmtId="0" fontId="9" fillId="0" borderId="1" xfId="0" applyFont="1" applyBorder="1" applyAlignment="1">
      <alignment horizontal="center" vertical="center" wrapText="1"/>
    </xf>
    <xf numFmtId="0" fontId="13" fillId="0" borderId="0" xfId="0" applyFont="1"/>
    <xf numFmtId="165" fontId="2" fillId="0" borderId="0" xfId="0" applyNumberFormat="1" applyFont="1" applyAlignment="1">
      <alignment horizontal="center"/>
    </xf>
    <xf numFmtId="0" fontId="9" fillId="0" borderId="1" xfId="0" applyFont="1" applyBorder="1" applyAlignment="1">
      <alignment vertical="center"/>
    </xf>
    <xf numFmtId="167" fontId="9" fillId="0" borderId="1" xfId="0" applyNumberFormat="1" applyFont="1" applyBorder="1" applyAlignment="1">
      <alignment horizontal="center" vertical="center"/>
    </xf>
    <xf numFmtId="0" fontId="3" fillId="0" borderId="0" xfId="0" applyFont="1" applyAlignment="1">
      <alignment horizontal="left"/>
    </xf>
    <xf numFmtId="0" fontId="2" fillId="0" borderId="10" xfId="0" applyFont="1" applyBorder="1" applyAlignment="1">
      <alignment horizontal="center"/>
    </xf>
    <xf numFmtId="0" fontId="0" fillId="0" borderId="10" xfId="0" applyFont="1" applyBorder="1" applyAlignment="1">
      <alignment horizontal="center"/>
    </xf>
    <xf numFmtId="9" fontId="2" fillId="0" borderId="10" xfId="0" applyNumberFormat="1" applyFont="1" applyBorder="1" applyAlignment="1">
      <alignment horizontal="center"/>
    </xf>
    <xf numFmtId="0" fontId="15" fillId="0" borderId="0" xfId="0" applyFont="1" applyBorder="1" applyAlignment="1">
      <alignment horizontal="center" vertical="center"/>
    </xf>
    <xf numFmtId="0" fontId="16" fillId="0" borderId="0" xfId="0" applyFont="1" applyBorder="1" applyAlignment="1">
      <alignment horizontal="center" vertical="center"/>
    </xf>
    <xf numFmtId="164" fontId="12" fillId="0" borderId="1" xfId="0" applyNumberFormat="1" applyFont="1" applyBorder="1" applyAlignment="1">
      <alignment horizontal="center" vertical="center"/>
    </xf>
    <xf numFmtId="164" fontId="17" fillId="0" borderId="0" xfId="0" applyNumberFormat="1" applyFont="1" applyAlignment="1">
      <alignment horizontal="center"/>
    </xf>
    <xf numFmtId="0" fontId="2" fillId="0" borderId="10" xfId="0" applyFont="1" applyBorder="1"/>
    <xf numFmtId="0" fontId="19" fillId="0" borderId="0" xfId="0" applyFont="1" applyAlignment="1">
      <alignment horizontal="center"/>
    </xf>
    <xf numFmtId="0" fontId="6" fillId="0" borderId="1" xfId="0" applyFont="1" applyBorder="1" applyAlignment="1">
      <alignment horizontal="center" vertical="center"/>
    </xf>
    <xf numFmtId="0" fontId="2" fillId="0" borderId="1" xfId="0" applyFont="1" applyBorder="1"/>
    <xf numFmtId="0" fontId="7" fillId="0" borderId="1" xfId="0" applyFont="1" applyBorder="1" applyAlignment="1">
      <alignment horizontal="center"/>
    </xf>
    <xf numFmtId="0" fontId="6" fillId="0" borderId="11" xfId="0" applyFont="1" applyBorder="1" applyAlignment="1">
      <alignment horizontal="center"/>
    </xf>
    <xf numFmtId="0" fontId="6" fillId="0" borderId="0" xfId="0" applyFont="1" applyBorder="1" applyAlignment="1">
      <alignment horizontal="center"/>
    </xf>
    <xf numFmtId="165" fontId="2" fillId="0" borderId="0" xfId="0" applyNumberFormat="1" applyFont="1" applyBorder="1"/>
    <xf numFmtId="0" fontId="6" fillId="0" borderId="0" xfId="0" applyFont="1" applyBorder="1" applyAlignment="1">
      <alignment horizontal="center" vertical="center"/>
    </xf>
    <xf numFmtId="164" fontId="12" fillId="0" borderId="0" xfId="0" applyNumberFormat="1" applyFont="1" applyBorder="1" applyAlignment="1">
      <alignment horizontal="center" vertical="center"/>
    </xf>
    <xf numFmtId="2" fontId="2" fillId="0" borderId="1" xfId="0" applyNumberFormat="1" applyFont="1" applyBorder="1" applyAlignment="1">
      <alignment horizontal="center"/>
    </xf>
    <xf numFmtId="0" fontId="6" fillId="0" borderId="1" xfId="0" applyFont="1" applyBorder="1"/>
    <xf numFmtId="0" fontId="6" fillId="0" borderId="1" xfId="0" applyFont="1" applyBorder="1" applyAlignment="1">
      <alignment horizontal="center"/>
    </xf>
    <xf numFmtId="1" fontId="3" fillId="3" borderId="1" xfId="0" applyNumberFormat="1" applyFont="1" applyFill="1" applyBorder="1" applyAlignment="1" applyProtection="1">
      <alignment horizontal="center"/>
      <protection locked="0"/>
    </xf>
    <xf numFmtId="166" fontId="2" fillId="0" borderId="0" xfId="0" applyNumberFormat="1" applyFont="1" applyFill="1" applyBorder="1" applyAlignment="1" applyProtection="1">
      <alignment horizontal="right"/>
    </xf>
    <xf numFmtId="166" fontId="3" fillId="3" borderId="1" xfId="0" applyNumberFormat="1" applyFont="1" applyFill="1" applyBorder="1" applyAlignment="1" applyProtection="1">
      <alignment horizontal="center"/>
      <protection locked="0"/>
    </xf>
    <xf numFmtId="0" fontId="22" fillId="0" borderId="0" xfId="0" applyFont="1" applyAlignment="1">
      <alignment horizontal="right"/>
    </xf>
    <xf numFmtId="164" fontId="22" fillId="0" borderId="0" xfId="0" applyNumberFormat="1" applyFont="1" applyFill="1" applyBorder="1" applyAlignment="1" applyProtection="1">
      <alignment horizontal="left"/>
    </xf>
    <xf numFmtId="2" fontId="10" fillId="0" borderId="0" xfId="0" applyNumberFormat="1" applyFont="1" applyFill="1" applyBorder="1" applyAlignment="1">
      <alignment horizontal="left"/>
    </xf>
    <xf numFmtId="0" fontId="2" fillId="0" borderId="0" xfId="0" applyFont="1" applyFill="1"/>
    <xf numFmtId="0" fontId="2" fillId="0" borderId="0" xfId="0" applyFont="1" applyFill="1" applyAlignment="1">
      <alignment horizontal="right"/>
    </xf>
    <xf numFmtId="2" fontId="2" fillId="0" borderId="0" xfId="0" applyNumberFormat="1" applyFont="1" applyFill="1"/>
    <xf numFmtId="0" fontId="2" fillId="0" borderId="0" xfId="0" applyFont="1" applyFill="1" applyAlignment="1">
      <alignment horizontal="left" indent="1"/>
    </xf>
    <xf numFmtId="0" fontId="8" fillId="0" borderId="0" xfId="0" applyFont="1" applyAlignment="1">
      <alignment horizontal="left" vertical="center"/>
    </xf>
    <xf numFmtId="0" fontId="2" fillId="0" borderId="0" xfId="0" quotePrefix="1" applyFont="1" applyAlignment="1">
      <alignment horizontal="center"/>
    </xf>
    <xf numFmtId="0" fontId="2" fillId="0" borderId="10" xfId="0" applyFont="1" applyBorder="1" applyAlignment="1">
      <alignment horizontal="right"/>
    </xf>
    <xf numFmtId="0" fontId="2" fillId="0" borderId="10" xfId="0" applyFont="1" applyBorder="1" applyAlignment="1">
      <alignment horizontal="right" indent="1"/>
    </xf>
    <xf numFmtId="0" fontId="2" fillId="0" borderId="0" xfId="0" applyFont="1" applyFill="1" applyBorder="1" applyAlignment="1" applyProtection="1">
      <alignment horizontal="right"/>
    </xf>
    <xf numFmtId="2" fontId="2" fillId="0" borderId="0" xfId="0" applyNumberFormat="1" applyFont="1" applyProtection="1"/>
    <xf numFmtId="167" fontId="2" fillId="0" borderId="0" xfId="0" applyNumberFormat="1" applyFont="1" applyProtection="1"/>
    <xf numFmtId="167" fontId="2" fillId="0" borderId="0" xfId="0" applyNumberFormat="1" applyFont="1" applyAlignment="1" applyProtection="1"/>
    <xf numFmtId="2" fontId="2" fillId="0" borderId="0" xfId="0" applyNumberFormat="1" applyFont="1" applyFill="1" applyProtection="1"/>
    <xf numFmtId="0" fontId="2" fillId="0" borderId="0" xfId="0" applyFont="1" applyFill="1" applyBorder="1" applyAlignment="1" applyProtection="1"/>
    <xf numFmtId="1" fontId="2" fillId="0" borderId="0" xfId="0" applyNumberFormat="1" applyFont="1" applyFill="1" applyAlignment="1" applyProtection="1">
      <alignment horizontal="right"/>
    </xf>
    <xf numFmtId="2" fontId="2" fillId="0" borderId="0" xfId="0" applyNumberFormat="1" applyFont="1" applyFill="1" applyAlignment="1" applyProtection="1">
      <alignment horizontal="right"/>
    </xf>
    <xf numFmtId="0" fontId="0" fillId="0" borderId="0" xfId="0" quotePrefix="1" applyFont="1" applyAlignment="1">
      <alignment horizontal="left" indent="1"/>
    </xf>
    <xf numFmtId="2" fontId="17" fillId="0" borderId="0" xfId="0" applyNumberFormat="1" applyFont="1" applyAlignment="1">
      <alignment horizontal="center"/>
    </xf>
    <xf numFmtId="0" fontId="7" fillId="0" borderId="0" xfId="0" applyFont="1" applyAlignment="1">
      <alignment horizontal="center"/>
    </xf>
    <xf numFmtId="164" fontId="9" fillId="0" borderId="1" xfId="0" applyNumberFormat="1" applyFont="1" applyFill="1" applyBorder="1" applyAlignment="1">
      <alignment horizontal="center" vertical="center" wrapText="1"/>
    </xf>
    <xf numFmtId="2" fontId="9" fillId="0" borderId="1" xfId="0" applyNumberFormat="1" applyFont="1" applyBorder="1" applyAlignment="1">
      <alignment horizontal="center" vertical="center" wrapText="1"/>
    </xf>
    <xf numFmtId="164" fontId="7" fillId="0" borderId="1" xfId="0" applyNumberFormat="1" applyFont="1" applyBorder="1" applyAlignment="1">
      <alignment horizontal="center" vertical="center"/>
    </xf>
    <xf numFmtId="2" fontId="2" fillId="0" borderId="0" xfId="0" applyNumberFormat="1" applyFont="1" applyAlignment="1">
      <alignment horizontal="right"/>
    </xf>
    <xf numFmtId="0" fontId="2" fillId="0" borderId="0" xfId="0" applyFont="1" applyAlignment="1">
      <alignment horizontal="right" vertical="center"/>
    </xf>
    <xf numFmtId="0" fontId="3" fillId="4" borderId="21" xfId="0" applyFont="1" applyFill="1" applyBorder="1" applyAlignment="1"/>
    <xf numFmtId="0" fontId="3" fillId="4" borderId="12" xfId="0" applyFont="1" applyFill="1" applyBorder="1" applyAlignment="1">
      <alignment horizontal="right"/>
    </xf>
    <xf numFmtId="0" fontId="3" fillId="0" borderId="0" xfId="0" applyFont="1" applyFill="1" applyAlignment="1">
      <alignment horizontal="left" indent="1"/>
    </xf>
    <xf numFmtId="164" fontId="2" fillId="0" borderId="0" xfId="0" applyNumberFormat="1" applyFont="1" applyAlignment="1">
      <alignment horizontal="left" indent="1"/>
    </xf>
    <xf numFmtId="2" fontId="2" fillId="0" borderId="0" xfId="0" applyNumberFormat="1" applyFont="1" applyFill="1" applyBorder="1" applyAlignment="1" applyProtection="1">
      <protection locked="0"/>
    </xf>
    <xf numFmtId="2" fontId="2" fillId="0" borderId="0" xfId="0" applyNumberFormat="1" applyFont="1" applyFill="1" applyBorder="1" applyAlignment="1"/>
    <xf numFmtId="1" fontId="2" fillId="0" borderId="0" xfId="0" applyNumberFormat="1" applyFont="1"/>
    <xf numFmtId="0" fontId="0" fillId="0" borderId="0" xfId="0" applyFont="1" applyAlignment="1">
      <alignment horizontal="left" indent="1"/>
    </xf>
    <xf numFmtId="166" fontId="2" fillId="0" borderId="0" xfId="0" applyNumberFormat="1" applyFont="1" applyFill="1" applyBorder="1" applyAlignment="1" applyProtection="1"/>
    <xf numFmtId="2" fontId="9" fillId="0" borderId="0" xfId="0" applyNumberFormat="1" applyFont="1" applyBorder="1" applyAlignment="1">
      <alignment horizontal="center" vertical="center" wrapText="1"/>
    </xf>
    <xf numFmtId="0" fontId="23" fillId="4" borderId="25" xfId="0" applyFont="1" applyFill="1" applyBorder="1" applyAlignment="1">
      <alignment horizontal="center"/>
    </xf>
    <xf numFmtId="164" fontId="4" fillId="4" borderId="24" xfId="0" applyNumberFormat="1" applyFont="1" applyFill="1" applyBorder="1" applyAlignment="1">
      <alignment horizontal="center"/>
    </xf>
    <xf numFmtId="164" fontId="3" fillId="4" borderId="21" xfId="0" applyNumberFormat="1" applyFont="1" applyFill="1" applyBorder="1" applyAlignment="1">
      <alignment horizontal="center"/>
    </xf>
    <xf numFmtId="164" fontId="24" fillId="4" borderId="20" xfId="0" applyNumberFormat="1" applyFont="1" applyFill="1" applyBorder="1" applyAlignment="1">
      <alignment horizontal="right" indent="2"/>
    </xf>
    <xf numFmtId="164" fontId="4" fillId="4" borderId="11" xfId="0" applyNumberFormat="1" applyFont="1" applyFill="1" applyBorder="1" applyAlignment="1">
      <alignment horizontal="right" indent="2"/>
    </xf>
    <xf numFmtId="164" fontId="3" fillId="4" borderId="12" xfId="0" applyNumberFormat="1" applyFont="1" applyFill="1" applyBorder="1" applyAlignment="1">
      <alignment horizontal="right" indent="2"/>
    </xf>
    <xf numFmtId="0" fontId="2" fillId="3" borderId="10" xfId="0" applyFont="1" applyFill="1" applyBorder="1" applyAlignment="1">
      <alignment horizontal="right"/>
    </xf>
    <xf numFmtId="0" fontId="2" fillId="3" borderId="0" xfId="0" applyFont="1" applyFill="1"/>
    <xf numFmtId="2" fontId="2" fillId="0" borderId="0" xfId="0" applyNumberFormat="1" applyFont="1" applyFill="1" applyBorder="1" applyAlignment="1" applyProtection="1"/>
    <xf numFmtId="2" fontId="2" fillId="0" borderId="0" xfId="0" applyNumberFormat="1" applyFont="1" applyAlignment="1">
      <alignment horizontal="right" indent="1"/>
    </xf>
    <xf numFmtId="164" fontId="4" fillId="4" borderId="8" xfId="0" applyNumberFormat="1" applyFont="1" applyFill="1" applyBorder="1" applyAlignment="1">
      <alignment horizontal="right" indent="2"/>
    </xf>
    <xf numFmtId="164" fontId="2" fillId="0" borderId="0" xfId="0" applyNumberFormat="1" applyFont="1" applyAlignment="1">
      <alignment horizontal="right" indent="1"/>
    </xf>
    <xf numFmtId="9" fontId="2" fillId="0" borderId="0" xfId="0" applyNumberFormat="1" applyFont="1" applyAlignment="1">
      <alignment horizontal="right" indent="1"/>
    </xf>
    <xf numFmtId="9" fontId="2" fillId="0" borderId="0" xfId="0" applyNumberFormat="1" applyFont="1" applyBorder="1" applyAlignment="1">
      <alignment horizontal="right" indent="1"/>
    </xf>
    <xf numFmtId="2" fontId="2" fillId="0" borderId="20" xfId="0" applyNumberFormat="1" applyFont="1" applyBorder="1" applyAlignment="1">
      <alignment horizontal="right" indent="1"/>
    </xf>
    <xf numFmtId="164" fontId="22" fillId="0" borderId="0" xfId="0" applyNumberFormat="1" applyFont="1" applyAlignment="1">
      <alignment horizontal="left"/>
    </xf>
    <xf numFmtId="0" fontId="25" fillId="0" borderId="0" xfId="0" applyFont="1" applyFill="1" applyBorder="1"/>
    <xf numFmtId="0" fontId="3" fillId="0" borderId="0" xfId="0" applyFont="1" applyAlignment="1">
      <alignment horizontal="left" wrapText="1" indent="1"/>
    </xf>
    <xf numFmtId="164" fontId="3" fillId="3" borderId="1" xfId="0" applyNumberFormat="1" applyFont="1" applyFill="1" applyBorder="1" applyAlignment="1" applyProtection="1">
      <alignment horizontal="center"/>
      <protection locked="0"/>
    </xf>
    <xf numFmtId="164" fontId="24" fillId="6" borderId="29" xfId="0" applyNumberFormat="1" applyFont="1" applyFill="1" applyBorder="1" applyAlignment="1">
      <alignment horizontal="right" indent="2"/>
    </xf>
    <xf numFmtId="164" fontId="4" fillId="6" borderId="27" xfId="0" applyNumberFormat="1" applyFont="1" applyFill="1" applyBorder="1" applyAlignment="1">
      <alignment horizontal="right" indent="2"/>
    </xf>
    <xf numFmtId="164" fontId="3" fillId="6" borderId="14" xfId="0" applyNumberFormat="1" applyFont="1" applyFill="1" applyBorder="1" applyAlignment="1">
      <alignment horizontal="right" indent="2"/>
    </xf>
    <xf numFmtId="0" fontId="3" fillId="6" borderId="9" xfId="0" applyFont="1" applyFill="1" applyBorder="1" applyAlignment="1">
      <alignment horizontal="right"/>
    </xf>
    <xf numFmtId="0" fontId="3" fillId="7" borderId="9" xfId="0" applyFont="1" applyFill="1" applyBorder="1" applyAlignment="1">
      <alignment horizontal="right"/>
    </xf>
    <xf numFmtId="0" fontId="3" fillId="6" borderId="26" xfId="0" applyFont="1" applyFill="1" applyBorder="1" applyAlignment="1">
      <alignment horizontal="right"/>
    </xf>
    <xf numFmtId="164" fontId="4" fillId="6" borderId="28" xfId="0" applyNumberFormat="1" applyFont="1" applyFill="1" applyBorder="1" applyAlignment="1">
      <alignment horizontal="right" indent="2"/>
    </xf>
    <xf numFmtId="2" fontId="3" fillId="4" borderId="12" xfId="0" applyNumberFormat="1" applyFont="1" applyFill="1" applyBorder="1" applyAlignment="1">
      <alignment horizontal="right"/>
    </xf>
    <xf numFmtId="0" fontId="3" fillId="7" borderId="26" xfId="0" applyFont="1" applyFill="1" applyBorder="1" applyAlignment="1">
      <alignment horizontal="right"/>
    </xf>
    <xf numFmtId="0" fontId="3" fillId="7" borderId="22" xfId="0" applyFont="1" applyFill="1" applyBorder="1" applyAlignment="1">
      <alignment horizontal="right"/>
    </xf>
    <xf numFmtId="164" fontId="24" fillId="6" borderId="32" xfId="0" applyNumberFormat="1" applyFont="1" applyFill="1" applyBorder="1" applyAlignment="1">
      <alignment horizontal="right" indent="2"/>
    </xf>
    <xf numFmtId="164" fontId="3" fillId="6" borderId="33" xfId="0" applyNumberFormat="1" applyFont="1" applyFill="1" applyBorder="1" applyAlignment="1">
      <alignment horizontal="right" indent="2"/>
    </xf>
    <xf numFmtId="0" fontId="3" fillId="6" borderId="19" xfId="0" applyFont="1" applyFill="1" applyBorder="1" applyAlignment="1">
      <alignment horizontal="right"/>
    </xf>
    <xf numFmtId="164" fontId="4" fillId="6" borderId="15" xfId="0" applyNumberFormat="1" applyFont="1" applyFill="1" applyBorder="1" applyAlignment="1">
      <alignment horizontal="right" indent="2"/>
    </xf>
    <xf numFmtId="0" fontId="3" fillId="5" borderId="6" xfId="0" applyFont="1" applyFill="1" applyBorder="1" applyAlignment="1">
      <alignment horizontal="right"/>
    </xf>
    <xf numFmtId="164" fontId="24" fillId="5" borderId="6" xfId="0" applyNumberFormat="1" applyFont="1" applyFill="1" applyBorder="1" applyAlignment="1">
      <alignment horizontal="right" indent="2"/>
    </xf>
    <xf numFmtId="164" fontId="4" fillId="5" borderId="7" xfId="0" applyNumberFormat="1" applyFont="1" applyFill="1" applyBorder="1" applyAlignment="1">
      <alignment horizontal="right" indent="2"/>
    </xf>
    <xf numFmtId="164" fontId="3" fillId="5" borderId="21" xfId="0" applyNumberFormat="1" applyFont="1" applyFill="1" applyBorder="1" applyAlignment="1">
      <alignment horizontal="right" indent="2"/>
    </xf>
    <xf numFmtId="164" fontId="22" fillId="0" borderId="0" xfId="0" applyNumberFormat="1" applyFont="1" applyBorder="1" applyAlignment="1">
      <alignment horizontal="left" indent="1"/>
    </xf>
    <xf numFmtId="0" fontId="22" fillId="0" borderId="0" xfId="0" applyFont="1" applyFill="1" applyBorder="1" applyAlignment="1">
      <alignment horizontal="right"/>
    </xf>
    <xf numFmtId="9" fontId="22" fillId="0" borderId="0" xfId="0" applyNumberFormat="1" applyFont="1" applyFill="1" applyBorder="1" applyAlignment="1">
      <alignment horizontal="left" indent="1"/>
    </xf>
    <xf numFmtId="0" fontId="3" fillId="0" borderId="0" xfId="0" applyFont="1" applyBorder="1" applyAlignment="1">
      <alignment horizontal="left" indent="1"/>
    </xf>
    <xf numFmtId="0" fontId="2" fillId="0" borderId="0" xfId="0" applyFont="1" applyAlignment="1">
      <alignment horizontal="left"/>
    </xf>
    <xf numFmtId="3" fontId="22" fillId="0" borderId="0" xfId="0" applyNumberFormat="1" applyFont="1" applyAlignment="1">
      <alignment horizontal="left" indent="1"/>
    </xf>
    <xf numFmtId="3" fontId="3" fillId="3" borderId="1" xfId="0" applyNumberFormat="1" applyFont="1" applyFill="1" applyBorder="1" applyAlignment="1" applyProtection="1">
      <alignment horizontal="center"/>
      <protection locked="0"/>
    </xf>
    <xf numFmtId="1" fontId="24" fillId="7" borderId="29" xfId="0" applyNumberFormat="1" applyFont="1" applyFill="1" applyBorder="1" applyAlignment="1">
      <alignment horizontal="right" indent="2"/>
    </xf>
    <xf numFmtId="1" fontId="4" fillId="7" borderId="27" xfId="0" applyNumberFormat="1" applyFont="1" applyFill="1" applyBorder="1" applyAlignment="1">
      <alignment horizontal="right" indent="2"/>
    </xf>
    <xf numFmtId="1" fontId="3" fillId="7" borderId="14" xfId="0" applyNumberFormat="1" applyFont="1" applyFill="1" applyBorder="1" applyAlignment="1">
      <alignment horizontal="right" indent="2"/>
    </xf>
    <xf numFmtId="1" fontId="24" fillId="7" borderId="32" xfId="0" applyNumberFormat="1" applyFont="1" applyFill="1" applyBorder="1" applyAlignment="1">
      <alignment horizontal="right" indent="2"/>
    </xf>
    <xf numFmtId="1" fontId="4" fillId="7" borderId="28" xfId="0" applyNumberFormat="1" applyFont="1" applyFill="1" applyBorder="1" applyAlignment="1">
      <alignment horizontal="right" indent="2"/>
    </xf>
    <xf numFmtId="1" fontId="3" fillId="7" borderId="33" xfId="0" applyNumberFormat="1" applyFont="1" applyFill="1" applyBorder="1" applyAlignment="1">
      <alignment horizontal="right" indent="2"/>
    </xf>
    <xf numFmtId="1" fontId="24" fillId="7" borderId="22" xfId="0" applyNumberFormat="1" applyFont="1" applyFill="1" applyBorder="1" applyAlignment="1">
      <alignment horizontal="right" indent="2"/>
    </xf>
    <xf numFmtId="1" fontId="4" fillId="7" borderId="18" xfId="0" applyNumberFormat="1" applyFont="1" applyFill="1" applyBorder="1" applyAlignment="1">
      <alignment horizontal="right" indent="2"/>
    </xf>
    <xf numFmtId="1" fontId="3" fillId="7" borderId="23" xfId="0" applyNumberFormat="1" applyFont="1" applyFill="1" applyBorder="1" applyAlignment="1">
      <alignment horizontal="right" indent="2"/>
    </xf>
    <xf numFmtId="166" fontId="22" fillId="0" borderId="0" xfId="0" applyNumberFormat="1" applyFont="1" applyAlignment="1">
      <alignment horizontal="left" indent="1"/>
    </xf>
    <xf numFmtId="164" fontId="2" fillId="0" borderId="0" xfId="0" applyNumberFormat="1" applyFont="1" applyBorder="1"/>
    <xf numFmtId="2" fontId="2" fillId="0" borderId="0" xfId="0" applyNumberFormat="1" applyFont="1" applyAlignment="1" applyProtection="1">
      <alignment horizontal="right" indent="1"/>
    </xf>
    <xf numFmtId="2" fontId="2" fillId="0" borderId="0" xfId="0" quotePrefix="1" applyNumberFormat="1" applyFont="1" applyFill="1" applyAlignment="1">
      <alignment horizontal="right" indent="1"/>
    </xf>
    <xf numFmtId="2" fontId="2" fillId="0" borderId="0" xfId="0" quotePrefix="1" applyNumberFormat="1" applyFont="1" applyFill="1" applyAlignment="1"/>
    <xf numFmtId="167" fontId="2" fillId="0" borderId="0" xfId="0" applyNumberFormat="1" applyFont="1" applyAlignment="1">
      <alignment horizontal="left" indent="1"/>
    </xf>
    <xf numFmtId="165" fontId="0" fillId="0" borderId="0" xfId="0" applyNumberFormat="1" applyAlignment="1">
      <alignment horizontal="center"/>
    </xf>
    <xf numFmtId="0" fontId="2" fillId="0" borderId="0" xfId="0" applyFont="1" applyAlignment="1">
      <alignment vertical="center"/>
    </xf>
    <xf numFmtId="2" fontId="2" fillId="0" borderId="0" xfId="0" applyNumberFormat="1" applyFont="1" applyAlignment="1">
      <alignment vertical="center"/>
    </xf>
    <xf numFmtId="0" fontId="27" fillId="0" borderId="0" xfId="0" applyFont="1" applyFill="1" applyAlignment="1">
      <alignment horizontal="left" indent="1"/>
    </xf>
    <xf numFmtId="0" fontId="2" fillId="0" borderId="0" xfId="0" applyFont="1" applyFill="1" applyAlignment="1">
      <alignment horizontal="right" indent="1"/>
    </xf>
    <xf numFmtId="164" fontId="4" fillId="6" borderId="16" xfId="0" applyNumberFormat="1" applyFont="1" applyFill="1" applyBorder="1" applyAlignment="1">
      <alignment horizontal="right" indent="2"/>
    </xf>
    <xf numFmtId="164" fontId="4" fillId="6" borderId="18" xfId="0" applyNumberFormat="1" applyFont="1" applyFill="1" applyBorder="1" applyAlignment="1">
      <alignment horizontal="right" indent="2"/>
    </xf>
    <xf numFmtId="0" fontId="0" fillId="0" borderId="0" xfId="0" applyAlignment="1"/>
    <xf numFmtId="0" fontId="0" fillId="0" borderId="0" xfId="0"/>
    <xf numFmtId="0" fontId="2" fillId="0" borderId="0" xfId="0" applyFont="1" applyAlignment="1">
      <alignment wrapText="1"/>
    </xf>
    <xf numFmtId="0" fontId="2" fillId="0" borderId="0" xfId="0" applyFont="1" applyAlignment="1">
      <alignment horizontal="right" wrapText="1"/>
    </xf>
    <xf numFmtId="0" fontId="0" fillId="0" borderId="0" xfId="0" applyAlignment="1">
      <alignment wrapText="1"/>
    </xf>
    <xf numFmtId="0" fontId="2" fillId="0" borderId="0" xfId="0" applyFont="1" applyFill="1" applyAlignment="1">
      <alignment horizontal="right" wrapText="1"/>
    </xf>
    <xf numFmtId="0" fontId="2" fillId="0" borderId="0" xfId="0" applyFont="1" applyBorder="1" applyAlignment="1">
      <alignment horizontal="right" wrapText="1"/>
    </xf>
    <xf numFmtId="166" fontId="2" fillId="0" borderId="0" xfId="0" applyNumberFormat="1" applyFont="1" applyAlignment="1">
      <alignment wrapText="1"/>
    </xf>
    <xf numFmtId="0" fontId="2" fillId="0" borderId="0" xfId="0" applyFont="1" applyAlignment="1">
      <alignment horizontal="left" wrapText="1"/>
    </xf>
    <xf numFmtId="0" fontId="2" fillId="0" borderId="0" xfId="0" applyFont="1" applyFill="1" applyBorder="1" applyAlignment="1">
      <alignment horizontal="right" wrapText="1"/>
    </xf>
    <xf numFmtId="0" fontId="2" fillId="0" borderId="0" xfId="0" applyFont="1" applyAlignment="1"/>
    <xf numFmtId="2" fontId="2" fillId="0" borderId="0" xfId="0" applyNumberFormat="1" applyFont="1" applyAlignment="1"/>
    <xf numFmtId="0" fontId="2" fillId="0" borderId="1" xfId="0" applyFont="1" applyBorder="1" applyAlignment="1">
      <alignment horizontal="right"/>
    </xf>
    <xf numFmtId="0" fontId="2" fillId="0" borderId="1" xfId="0" applyFont="1" applyBorder="1" applyAlignment="1">
      <alignment vertical="center"/>
    </xf>
    <xf numFmtId="0" fontId="2" fillId="0" borderId="1" xfId="0" applyFont="1" applyBorder="1" applyAlignment="1">
      <alignment horizontal="right" vertical="center"/>
    </xf>
    <xf numFmtId="0" fontId="2" fillId="0" borderId="46" xfId="0" applyFont="1" applyBorder="1" applyAlignment="1">
      <alignment horizontal="right"/>
    </xf>
    <xf numFmtId="0" fontId="2" fillId="0" borderId="47" xfId="0" applyFont="1" applyBorder="1" applyAlignment="1">
      <alignment horizontal="right"/>
    </xf>
    <xf numFmtId="0" fontId="2" fillId="0" borderId="46" xfId="0" applyFont="1" applyBorder="1" applyAlignment="1">
      <alignment vertical="center"/>
    </xf>
    <xf numFmtId="0" fontId="2" fillId="0" borderId="47" xfId="0" applyFont="1" applyBorder="1" applyAlignment="1">
      <alignment horizontal="right" vertical="center"/>
    </xf>
    <xf numFmtId="0" fontId="2" fillId="0" borderId="46" xfId="0" applyFont="1" applyBorder="1"/>
    <xf numFmtId="10" fontId="2" fillId="0" borderId="47" xfId="7" applyNumberFormat="1" applyFont="1" applyBorder="1" applyAlignment="1">
      <alignment horizontal="right"/>
    </xf>
    <xf numFmtId="0" fontId="2" fillId="0" borderId="47" xfId="0" applyFont="1" applyBorder="1" applyAlignment="1">
      <alignment wrapText="1"/>
    </xf>
    <xf numFmtId="0" fontId="2" fillId="0" borderId="16" xfId="0" applyFont="1" applyBorder="1"/>
    <xf numFmtId="0" fontId="2" fillId="0" borderId="17" xfId="0" applyFont="1" applyBorder="1"/>
    <xf numFmtId="0" fontId="2" fillId="0" borderId="18" xfId="0" applyFont="1" applyBorder="1" applyAlignment="1">
      <alignment wrapText="1"/>
    </xf>
    <xf numFmtId="164" fontId="2" fillId="0" borderId="0" xfId="0" applyNumberFormat="1" applyFont="1" applyAlignment="1">
      <alignment horizontal="left"/>
    </xf>
    <xf numFmtId="9" fontId="2" fillId="0" borderId="0" xfId="0" applyNumberFormat="1" applyFont="1"/>
    <xf numFmtId="2" fontId="2" fillId="0" borderId="0" xfId="0" applyNumberFormat="1" applyFont="1" applyAlignment="1">
      <alignment horizontal="center"/>
    </xf>
    <xf numFmtId="164" fontId="2" fillId="0" borderId="0" xfId="0" applyNumberFormat="1" applyFont="1" applyAlignment="1">
      <alignment horizontal="center"/>
    </xf>
    <xf numFmtId="0" fontId="2" fillId="0" borderId="0" xfId="0" applyNumberFormat="1" applyFont="1" applyAlignment="1">
      <alignment horizontal="center"/>
    </xf>
    <xf numFmtId="2" fontId="0" fillId="0" borderId="0" xfId="0" applyNumberFormat="1" applyAlignment="1">
      <alignment horizontal="center"/>
    </xf>
    <xf numFmtId="164" fontId="0" fillId="0" borderId="0" xfId="0" applyNumberFormat="1" applyAlignment="1">
      <alignment horizontal="center"/>
    </xf>
    <xf numFmtId="164" fontId="3" fillId="0" borderId="1" xfId="0" applyNumberFormat="1" applyFont="1" applyFill="1" applyBorder="1" applyAlignment="1" applyProtection="1">
      <alignment horizontal="center"/>
    </xf>
    <xf numFmtId="0" fontId="3" fillId="39" borderId="13" xfId="0" applyFont="1" applyFill="1" applyBorder="1" applyAlignment="1">
      <alignment horizontal="right"/>
    </xf>
    <xf numFmtId="164" fontId="24" fillId="39" borderId="30" xfId="0" applyNumberFormat="1" applyFont="1" applyFill="1" applyBorder="1" applyAlignment="1">
      <alignment horizontal="right" indent="2"/>
    </xf>
    <xf numFmtId="164" fontId="4" fillId="39" borderId="31" xfId="0" applyNumberFormat="1" applyFont="1" applyFill="1" applyBorder="1" applyAlignment="1">
      <alignment horizontal="right" indent="2"/>
    </xf>
    <xf numFmtId="164" fontId="3" fillId="39" borderId="13" xfId="0" applyNumberFormat="1" applyFont="1" applyFill="1" applyBorder="1" applyAlignment="1">
      <alignment horizontal="right" indent="2"/>
    </xf>
    <xf numFmtId="0" fontId="3" fillId="39" borderId="26" xfId="0" applyFont="1" applyFill="1" applyBorder="1" applyAlignment="1">
      <alignment horizontal="right"/>
    </xf>
    <xf numFmtId="164" fontId="24" fillId="39" borderId="32" xfId="0" applyNumberFormat="1" applyFont="1" applyFill="1" applyBorder="1" applyAlignment="1">
      <alignment horizontal="right" indent="2"/>
    </xf>
    <xf numFmtId="164" fontId="4" fillId="39" borderId="28" xfId="0" applyNumberFormat="1" applyFont="1" applyFill="1" applyBorder="1" applyAlignment="1">
      <alignment horizontal="right" indent="2"/>
    </xf>
    <xf numFmtId="164" fontId="3" fillId="39" borderId="33" xfId="0" applyNumberFormat="1" applyFont="1" applyFill="1" applyBorder="1" applyAlignment="1">
      <alignment horizontal="right" indent="2"/>
    </xf>
    <xf numFmtId="0" fontId="3" fillId="39" borderId="5" xfId="0" applyFont="1" applyFill="1" applyBorder="1" applyAlignment="1">
      <alignment horizontal="right"/>
    </xf>
    <xf numFmtId="164" fontId="4" fillId="39" borderId="16" xfId="0" applyNumberFormat="1" applyFont="1" applyFill="1" applyBorder="1" applyAlignment="1">
      <alignment horizontal="right" indent="2"/>
    </xf>
    <xf numFmtId="164" fontId="4" fillId="39" borderId="18" xfId="0" applyNumberFormat="1" applyFont="1" applyFill="1" applyBorder="1" applyAlignment="1">
      <alignment horizontal="right" indent="2"/>
    </xf>
    <xf numFmtId="164" fontId="4" fillId="39" borderId="15" xfId="0" applyNumberFormat="1" applyFont="1" applyFill="1" applyBorder="1" applyAlignment="1">
      <alignment horizontal="right" indent="2"/>
    </xf>
    <xf numFmtId="0" fontId="0" fillId="0" borderId="10" xfId="0" applyBorder="1"/>
    <xf numFmtId="0" fontId="0" fillId="0" borderId="10" xfId="0" applyBorder="1" applyAlignment="1">
      <alignment horizontal="center"/>
    </xf>
    <xf numFmtId="2" fontId="0" fillId="0" borderId="10" xfId="0" applyNumberFormat="1" applyBorder="1" applyAlignment="1">
      <alignment horizontal="center" wrapText="1"/>
    </xf>
    <xf numFmtId="0" fontId="0" fillId="0" borderId="10" xfId="0" applyBorder="1" applyAlignment="1">
      <alignment horizontal="left"/>
    </xf>
    <xf numFmtId="0" fontId="2" fillId="40" borderId="0" xfId="0" applyFont="1" applyFill="1" applyProtection="1"/>
    <xf numFmtId="2" fontId="2" fillId="40" borderId="0" xfId="0" applyNumberFormat="1" applyFont="1" applyFill="1"/>
    <xf numFmtId="0" fontId="2" fillId="40" borderId="0" xfId="0" applyFont="1" applyFill="1" applyBorder="1" applyAlignment="1">
      <alignment horizontal="left"/>
    </xf>
    <xf numFmtId="1" fontId="2" fillId="40" borderId="0" xfId="0" applyNumberFormat="1" applyFont="1" applyFill="1"/>
    <xf numFmtId="0" fontId="2" fillId="40" borderId="0" xfId="0" applyFont="1" applyFill="1" applyAlignment="1">
      <alignment horizontal="right"/>
    </xf>
    <xf numFmtId="0" fontId="2" fillId="0" borderId="1" xfId="0" applyFont="1" applyBorder="1" applyAlignment="1">
      <alignment wrapText="1"/>
    </xf>
    <xf numFmtId="0" fontId="2" fillId="0" borderId="0" xfId="0" applyFont="1" applyAlignment="1">
      <alignment horizontal="center" vertical="center"/>
    </xf>
    <xf numFmtId="0" fontId="2" fillId="0" borderId="0" xfId="0" applyNumberFormat="1" applyFont="1" applyAlignment="1">
      <alignment horizontal="center" vertical="center"/>
    </xf>
    <xf numFmtId="164" fontId="0" fillId="0" borderId="0" xfId="0" applyNumberFormat="1" applyFont="1" applyAlignment="1">
      <alignment horizontal="center"/>
    </xf>
    <xf numFmtId="2" fontId="2" fillId="0" borderId="0" xfId="0" applyNumberFormat="1" applyFont="1" applyAlignment="1">
      <alignment horizontal="center" vertical="center"/>
    </xf>
    <xf numFmtId="0" fontId="39" fillId="41" borderId="6" xfId="0" applyFont="1" applyFill="1" applyBorder="1" applyAlignment="1">
      <alignment horizontal="right"/>
    </xf>
    <xf numFmtId="3" fontId="39" fillId="41" borderId="14" xfId="0" applyNumberFormat="1" applyFont="1" applyFill="1" applyBorder="1" applyAlignment="1">
      <alignment horizontal="center"/>
    </xf>
    <xf numFmtId="0" fontId="39" fillId="41" borderId="5" xfId="0" applyFont="1" applyFill="1" applyBorder="1" applyAlignment="1">
      <alignment horizontal="right"/>
    </xf>
    <xf numFmtId="37" fontId="39" fillId="41" borderId="49" xfId="49" applyNumberFormat="1" applyFont="1" applyFill="1" applyBorder="1" applyAlignment="1">
      <alignment horizontal="center"/>
    </xf>
    <xf numFmtId="0" fontId="39" fillId="41" borderId="31" xfId="0" applyFont="1" applyFill="1" applyBorder="1" applyAlignment="1">
      <alignment horizontal="right"/>
    </xf>
    <xf numFmtId="168" fontId="3" fillId="3" borderId="1" xfId="0" applyNumberFormat="1" applyFont="1" applyFill="1" applyBorder="1" applyAlignment="1" applyProtection="1">
      <alignment horizontal="center"/>
      <protection locked="0"/>
    </xf>
    <xf numFmtId="169" fontId="39" fillId="41" borderId="48" xfId="0" applyNumberFormat="1" applyFont="1" applyFill="1" applyBorder="1" applyAlignment="1">
      <alignment horizontal="center"/>
    </xf>
    <xf numFmtId="0" fontId="1" fillId="0" borderId="0" xfId="0" applyFont="1" applyAlignment="1">
      <alignment horizontal="left" indent="1"/>
    </xf>
    <xf numFmtId="0" fontId="43" fillId="0" borderId="0" xfId="0" applyFont="1"/>
    <xf numFmtId="0" fontId="44" fillId="0" borderId="0" xfId="0" applyFont="1"/>
    <xf numFmtId="0" fontId="0" fillId="2" borderId="0" xfId="0" applyFill="1"/>
    <xf numFmtId="0" fontId="45" fillId="0" borderId="0" xfId="0" applyFont="1" applyAlignment="1">
      <alignment horizontal="left"/>
    </xf>
    <xf numFmtId="0" fontId="24" fillId="2" borderId="0" xfId="0" applyFont="1" applyFill="1" applyAlignment="1">
      <alignment horizontal="left" indent="1"/>
    </xf>
    <xf numFmtId="0" fontId="24" fillId="0" borderId="0" xfId="0" applyFont="1" applyAlignment="1">
      <alignment horizontal="left" indent="1"/>
    </xf>
    <xf numFmtId="0" fontId="3" fillId="3" borderId="2" xfId="0" applyFont="1" applyFill="1" applyBorder="1" applyAlignment="1">
      <alignment horizontal="center"/>
    </xf>
    <xf numFmtId="0" fontId="1" fillId="0" borderId="4" xfId="0" applyFont="1" applyBorder="1" applyAlignment="1"/>
    <xf numFmtId="0" fontId="5" fillId="2" borderId="2" xfId="0" applyFont="1" applyFill="1" applyBorder="1" applyAlignment="1">
      <alignment horizontal="center"/>
    </xf>
    <xf numFmtId="0" fontId="5" fillId="2" borderId="3" xfId="0" applyFont="1" applyFill="1" applyBorder="1" applyAlignment="1">
      <alignment horizontal="center"/>
    </xf>
    <xf numFmtId="0" fontId="0" fillId="0" borderId="3" xfId="0" applyBorder="1" applyAlignment="1"/>
    <xf numFmtId="0" fontId="0" fillId="0" borderId="4" xfId="0" applyBorder="1" applyAlignment="1"/>
    <xf numFmtId="0" fontId="22" fillId="0" borderId="43" xfId="0" applyFont="1" applyBorder="1" applyAlignment="1">
      <alignment horizontal="center"/>
    </xf>
    <xf numFmtId="0" fontId="22" fillId="0" borderId="44" xfId="0" applyFont="1" applyBorder="1" applyAlignment="1">
      <alignment horizontal="center"/>
    </xf>
    <xf numFmtId="2" fontId="22" fillId="0" borderId="44" xfId="0" applyNumberFormat="1" applyFont="1" applyBorder="1" applyAlignment="1">
      <alignment horizontal="center"/>
    </xf>
    <xf numFmtId="2" fontId="22" fillId="0" borderId="45" xfId="0" applyNumberFormat="1" applyFont="1" applyBorder="1" applyAlignment="1">
      <alignment horizontal="center"/>
    </xf>
    <xf numFmtId="0" fontId="24" fillId="0" borderId="0" xfId="0" applyFont="1" applyAlignment="1">
      <alignment horizontal="left" wrapText="1" indent="1"/>
    </xf>
  </cellXfs>
  <cellStyles count="5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customBuilti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customBuilti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customBuilti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customBuiltin="1"/>
    <cellStyle name="Bad" xfId="14" builtinId="27" customBuiltin="1"/>
    <cellStyle name="Calculation" xfId="18" builtinId="22" customBuiltin="1"/>
    <cellStyle name="Check Cell" xfId="20" builtinId="23" customBuiltin="1"/>
    <cellStyle name="Comma" xfId="49" builtinId="3"/>
    <cellStyle name="Comma0" xfId="2"/>
    <cellStyle name="Currency0" xfId="3"/>
    <cellStyle name="Date" xfId="4"/>
    <cellStyle name="Explanatory Text" xfId="23" builtinId="53" customBuiltin="1"/>
    <cellStyle name="Fixed" xfId="5"/>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Input" xfId="16" builtinId="20" customBuiltin="1"/>
    <cellStyle name="Linked Cell" xfId="19" builtinId="24" customBuiltin="1"/>
    <cellStyle name="Neutral" xfId="15" builtinId="28" customBuiltin="1"/>
    <cellStyle name="Normal" xfId="0" builtinId="0"/>
    <cellStyle name="Normal 2" xfId="1"/>
    <cellStyle name="Normal 2 2" xfId="6"/>
    <cellStyle name="Note" xfId="22" builtinId="10" customBuiltin="1"/>
    <cellStyle name="Output" xfId="17" builtinId="21" customBuiltin="1"/>
    <cellStyle name="Percent" xfId="7" builtinId="5"/>
    <cellStyle name="Title" xfId="8" builtinId="15" customBuiltin="1"/>
    <cellStyle name="Total" xfId="24" builtinId="25" customBuiltin="1"/>
    <cellStyle name="Warning Text" xfId="21" builtinId="11" customBuiltin="1"/>
  </cellStyles>
  <dxfs count="0"/>
  <tableStyles count="0" defaultTableStyle="TableStyleMedium2" defaultPivotStyle="PivotStyleLight16"/>
  <colors>
    <mruColors>
      <color rgb="FFFFFF99"/>
      <color rgb="FFFFFFCC"/>
      <color rgb="FF99FFCC"/>
      <color rgb="FFCCFFCC"/>
      <color rgb="FFCCECFF"/>
      <color rgb="FF009900"/>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emf"/><Relationship Id="rId13" Type="http://schemas.openxmlformats.org/officeDocument/2006/relationships/image" Target="../media/image13.emf"/><Relationship Id="rId18" Type="http://schemas.openxmlformats.org/officeDocument/2006/relationships/image" Target="../media/image18.emf"/><Relationship Id="rId26" Type="http://schemas.openxmlformats.org/officeDocument/2006/relationships/image" Target="../media/image26.emf"/><Relationship Id="rId3" Type="http://schemas.openxmlformats.org/officeDocument/2006/relationships/image" Target="../media/image3.emf"/><Relationship Id="rId21" Type="http://schemas.openxmlformats.org/officeDocument/2006/relationships/image" Target="../media/image21.emf"/><Relationship Id="rId7" Type="http://schemas.openxmlformats.org/officeDocument/2006/relationships/image" Target="../media/image7.emf"/><Relationship Id="rId12" Type="http://schemas.openxmlformats.org/officeDocument/2006/relationships/image" Target="../media/image12.emf"/><Relationship Id="rId17" Type="http://schemas.openxmlformats.org/officeDocument/2006/relationships/image" Target="../media/image17.emf"/><Relationship Id="rId25" Type="http://schemas.openxmlformats.org/officeDocument/2006/relationships/image" Target="../media/image25.emf"/><Relationship Id="rId2" Type="http://schemas.openxmlformats.org/officeDocument/2006/relationships/image" Target="../media/image2.emf"/><Relationship Id="rId16" Type="http://schemas.openxmlformats.org/officeDocument/2006/relationships/image" Target="../media/image16.emf"/><Relationship Id="rId20" Type="http://schemas.openxmlformats.org/officeDocument/2006/relationships/image" Target="../media/image20.emf"/><Relationship Id="rId29" Type="http://schemas.openxmlformats.org/officeDocument/2006/relationships/image" Target="../media/image29.emf"/><Relationship Id="rId1" Type="http://schemas.openxmlformats.org/officeDocument/2006/relationships/image" Target="../media/image1.emf"/><Relationship Id="rId6" Type="http://schemas.openxmlformats.org/officeDocument/2006/relationships/image" Target="../media/image6.emf"/><Relationship Id="rId11" Type="http://schemas.openxmlformats.org/officeDocument/2006/relationships/image" Target="../media/image11.emf"/><Relationship Id="rId24" Type="http://schemas.openxmlformats.org/officeDocument/2006/relationships/image" Target="../media/image24.emf"/><Relationship Id="rId32" Type="http://schemas.openxmlformats.org/officeDocument/2006/relationships/image" Target="../media/image32.emf"/><Relationship Id="rId5" Type="http://schemas.openxmlformats.org/officeDocument/2006/relationships/image" Target="../media/image5.emf"/><Relationship Id="rId15" Type="http://schemas.openxmlformats.org/officeDocument/2006/relationships/image" Target="../media/image15.emf"/><Relationship Id="rId23" Type="http://schemas.openxmlformats.org/officeDocument/2006/relationships/image" Target="../media/image23.emf"/><Relationship Id="rId28" Type="http://schemas.openxmlformats.org/officeDocument/2006/relationships/image" Target="../media/image28.emf"/><Relationship Id="rId10" Type="http://schemas.openxmlformats.org/officeDocument/2006/relationships/image" Target="../media/image10.emf"/><Relationship Id="rId19" Type="http://schemas.openxmlformats.org/officeDocument/2006/relationships/image" Target="../media/image19.emf"/><Relationship Id="rId31" Type="http://schemas.openxmlformats.org/officeDocument/2006/relationships/image" Target="../media/image31.emf"/><Relationship Id="rId4" Type="http://schemas.openxmlformats.org/officeDocument/2006/relationships/image" Target="../media/image4.emf"/><Relationship Id="rId9" Type="http://schemas.openxmlformats.org/officeDocument/2006/relationships/image" Target="../media/image9.emf"/><Relationship Id="rId14" Type="http://schemas.openxmlformats.org/officeDocument/2006/relationships/image" Target="../media/image14.emf"/><Relationship Id="rId22" Type="http://schemas.openxmlformats.org/officeDocument/2006/relationships/image" Target="../media/image22.emf"/><Relationship Id="rId27" Type="http://schemas.openxmlformats.org/officeDocument/2006/relationships/image" Target="../media/image27.emf"/><Relationship Id="rId30" Type="http://schemas.openxmlformats.org/officeDocument/2006/relationships/image" Target="../media/image30.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4</xdr:col>
      <xdr:colOff>482600</xdr:colOff>
      <xdr:row>3</xdr:row>
      <xdr:rowOff>6350</xdr:rowOff>
    </xdr:to>
    <xdr:pic>
      <xdr:nvPicPr>
        <xdr:cNvPr id="7" name="Picture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68300"/>
          <a:ext cx="2921000" cy="196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xdr:row>
      <xdr:rowOff>0</xdr:rowOff>
    </xdr:from>
    <xdr:to>
      <xdr:col>4</xdr:col>
      <xdr:colOff>482600</xdr:colOff>
      <xdr:row>5</xdr:row>
      <xdr:rowOff>6350</xdr:rowOff>
    </xdr:to>
    <xdr:pic>
      <xdr:nvPicPr>
        <xdr:cNvPr id="8" name="Picture 7"/>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762000"/>
          <a:ext cx="2921000" cy="196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11</xdr:row>
      <xdr:rowOff>0</xdr:rowOff>
    </xdr:from>
    <xdr:to>
      <xdr:col>4</xdr:col>
      <xdr:colOff>482600</xdr:colOff>
      <xdr:row>12</xdr:row>
      <xdr:rowOff>6350</xdr:rowOff>
    </xdr:to>
    <xdr:pic>
      <xdr:nvPicPr>
        <xdr:cNvPr id="9" name="Picture 8"/>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1143000"/>
          <a:ext cx="2921000" cy="196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13</xdr:row>
      <xdr:rowOff>0</xdr:rowOff>
    </xdr:from>
    <xdr:to>
      <xdr:col>4</xdr:col>
      <xdr:colOff>482600</xdr:colOff>
      <xdr:row>14</xdr:row>
      <xdr:rowOff>6350</xdr:rowOff>
    </xdr:to>
    <xdr:pic>
      <xdr:nvPicPr>
        <xdr:cNvPr id="11" name="Picture 10"/>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1524000"/>
          <a:ext cx="2921000" cy="196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15</xdr:row>
      <xdr:rowOff>0</xdr:rowOff>
    </xdr:from>
    <xdr:to>
      <xdr:col>4</xdr:col>
      <xdr:colOff>482600</xdr:colOff>
      <xdr:row>16</xdr:row>
      <xdr:rowOff>6350</xdr:rowOff>
    </xdr:to>
    <xdr:pic>
      <xdr:nvPicPr>
        <xdr:cNvPr id="13" name="Picture 12"/>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905000"/>
          <a:ext cx="2921000" cy="196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xdr:row>
      <xdr:rowOff>0</xdr:rowOff>
    </xdr:from>
    <xdr:to>
      <xdr:col>4</xdr:col>
      <xdr:colOff>482600</xdr:colOff>
      <xdr:row>18</xdr:row>
      <xdr:rowOff>6350</xdr:rowOff>
    </xdr:to>
    <xdr:pic>
      <xdr:nvPicPr>
        <xdr:cNvPr id="14" name="Picture 13"/>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2286000"/>
          <a:ext cx="2921000" cy="196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20</xdr:row>
      <xdr:rowOff>0</xdr:rowOff>
    </xdr:from>
    <xdr:to>
      <xdr:col>4</xdr:col>
      <xdr:colOff>482600</xdr:colOff>
      <xdr:row>20</xdr:row>
      <xdr:rowOff>196850</xdr:rowOff>
    </xdr:to>
    <xdr:pic>
      <xdr:nvPicPr>
        <xdr:cNvPr id="15" name="Picture 14"/>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0" y="2667000"/>
          <a:ext cx="2921000" cy="196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22</xdr:row>
      <xdr:rowOff>0</xdr:rowOff>
    </xdr:from>
    <xdr:to>
      <xdr:col>4</xdr:col>
      <xdr:colOff>482600</xdr:colOff>
      <xdr:row>22</xdr:row>
      <xdr:rowOff>196850</xdr:rowOff>
    </xdr:to>
    <xdr:pic>
      <xdr:nvPicPr>
        <xdr:cNvPr id="17" name="Picture 16"/>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0" y="3048000"/>
          <a:ext cx="2921000" cy="196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24</xdr:row>
      <xdr:rowOff>0</xdr:rowOff>
    </xdr:from>
    <xdr:to>
      <xdr:col>4</xdr:col>
      <xdr:colOff>482600</xdr:colOff>
      <xdr:row>24</xdr:row>
      <xdr:rowOff>196850</xdr:rowOff>
    </xdr:to>
    <xdr:pic>
      <xdr:nvPicPr>
        <xdr:cNvPr id="18" name="Picture 17"/>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0" y="3429000"/>
          <a:ext cx="2921000" cy="196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26</xdr:row>
      <xdr:rowOff>0</xdr:rowOff>
    </xdr:from>
    <xdr:to>
      <xdr:col>4</xdr:col>
      <xdr:colOff>482600</xdr:colOff>
      <xdr:row>27</xdr:row>
      <xdr:rowOff>6350</xdr:rowOff>
    </xdr:to>
    <xdr:pic>
      <xdr:nvPicPr>
        <xdr:cNvPr id="20" name="Picture 19"/>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0" y="3810000"/>
          <a:ext cx="2921000" cy="196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29</xdr:row>
      <xdr:rowOff>0</xdr:rowOff>
    </xdr:from>
    <xdr:to>
      <xdr:col>4</xdr:col>
      <xdr:colOff>482600</xdr:colOff>
      <xdr:row>30</xdr:row>
      <xdr:rowOff>6350</xdr:rowOff>
    </xdr:to>
    <xdr:pic>
      <xdr:nvPicPr>
        <xdr:cNvPr id="21" name="Picture 20"/>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0" y="4191000"/>
          <a:ext cx="2921000" cy="196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31</xdr:row>
      <xdr:rowOff>0</xdr:rowOff>
    </xdr:from>
    <xdr:to>
      <xdr:col>4</xdr:col>
      <xdr:colOff>482600</xdr:colOff>
      <xdr:row>32</xdr:row>
      <xdr:rowOff>6350</xdr:rowOff>
    </xdr:to>
    <xdr:pic>
      <xdr:nvPicPr>
        <xdr:cNvPr id="23" name="Picture 22"/>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0" y="4572000"/>
          <a:ext cx="2921000" cy="196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33</xdr:row>
      <xdr:rowOff>0</xdr:rowOff>
    </xdr:from>
    <xdr:to>
      <xdr:col>4</xdr:col>
      <xdr:colOff>482600</xdr:colOff>
      <xdr:row>34</xdr:row>
      <xdr:rowOff>6350</xdr:rowOff>
    </xdr:to>
    <xdr:pic>
      <xdr:nvPicPr>
        <xdr:cNvPr id="24" name="Picture 23"/>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0" y="4953000"/>
          <a:ext cx="2921000" cy="196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xdr:row>
      <xdr:rowOff>0</xdr:rowOff>
    </xdr:from>
    <xdr:to>
      <xdr:col>4</xdr:col>
      <xdr:colOff>463550</xdr:colOff>
      <xdr:row>37</xdr:row>
      <xdr:rowOff>6350</xdr:rowOff>
    </xdr:to>
    <xdr:pic>
      <xdr:nvPicPr>
        <xdr:cNvPr id="25" name="Picture 24"/>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1219200" y="5334000"/>
          <a:ext cx="1682750" cy="196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38</xdr:row>
      <xdr:rowOff>0</xdr:rowOff>
    </xdr:from>
    <xdr:to>
      <xdr:col>4</xdr:col>
      <xdr:colOff>463550</xdr:colOff>
      <xdr:row>39</xdr:row>
      <xdr:rowOff>6350</xdr:rowOff>
    </xdr:to>
    <xdr:pic>
      <xdr:nvPicPr>
        <xdr:cNvPr id="26" name="Picture 25"/>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1219200" y="5715000"/>
          <a:ext cx="1682750" cy="196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40</xdr:row>
      <xdr:rowOff>0</xdr:rowOff>
    </xdr:from>
    <xdr:to>
      <xdr:col>4</xdr:col>
      <xdr:colOff>463550</xdr:colOff>
      <xdr:row>41</xdr:row>
      <xdr:rowOff>6350</xdr:rowOff>
    </xdr:to>
    <xdr:pic>
      <xdr:nvPicPr>
        <xdr:cNvPr id="27" name="Picture 26"/>
        <xdr:cNvPicPr>
          <a:picLocks noChangeAspect="1"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1219200" y="6096000"/>
          <a:ext cx="1682750" cy="196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42</xdr:row>
      <xdr:rowOff>0</xdr:rowOff>
    </xdr:from>
    <xdr:to>
      <xdr:col>4</xdr:col>
      <xdr:colOff>463550</xdr:colOff>
      <xdr:row>42</xdr:row>
      <xdr:rowOff>196850</xdr:rowOff>
    </xdr:to>
    <xdr:pic>
      <xdr:nvPicPr>
        <xdr:cNvPr id="28" name="Picture 27"/>
        <xdr:cNvPicPr>
          <a:picLocks noChangeAspect="1" noChangeArrowheads="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1219200" y="6477000"/>
          <a:ext cx="1682750" cy="196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52</xdr:row>
      <xdr:rowOff>0</xdr:rowOff>
    </xdr:from>
    <xdr:to>
      <xdr:col>4</xdr:col>
      <xdr:colOff>463550</xdr:colOff>
      <xdr:row>53</xdr:row>
      <xdr:rowOff>6350</xdr:rowOff>
    </xdr:to>
    <xdr:pic>
      <xdr:nvPicPr>
        <xdr:cNvPr id="29" name="Picture 28"/>
        <xdr:cNvPicPr>
          <a:picLocks noChangeAspect="1" noChangeArrowheads="1"/>
        </xdr:cNvPicPr>
      </xdr:nvPicPr>
      <xdr:blipFill>
        <a:blip xmlns:r="http://schemas.openxmlformats.org/officeDocument/2006/relationships" r:embed="rId18">
          <a:extLst>
            <a:ext uri="{28A0092B-C50C-407E-A947-70E740481C1C}">
              <a14:useLocalDpi xmlns:a14="http://schemas.microsoft.com/office/drawing/2010/main" val="0"/>
            </a:ext>
          </a:extLst>
        </a:blip>
        <a:srcRect/>
        <a:stretch>
          <a:fillRect/>
        </a:stretch>
      </xdr:blipFill>
      <xdr:spPr bwMode="auto">
        <a:xfrm>
          <a:off x="1219200" y="6858000"/>
          <a:ext cx="1682750" cy="196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54</xdr:row>
      <xdr:rowOff>0</xdr:rowOff>
    </xdr:from>
    <xdr:to>
      <xdr:col>4</xdr:col>
      <xdr:colOff>463550</xdr:colOff>
      <xdr:row>54</xdr:row>
      <xdr:rowOff>196850</xdr:rowOff>
    </xdr:to>
    <xdr:pic>
      <xdr:nvPicPr>
        <xdr:cNvPr id="30" name="Picture 29"/>
        <xdr:cNvPicPr>
          <a:picLocks noChangeAspect="1" noChangeArrowheads="1"/>
        </xdr:cNvPicPr>
      </xdr:nvPicPr>
      <xdr:blipFill>
        <a:blip xmlns:r="http://schemas.openxmlformats.org/officeDocument/2006/relationships" r:embed="rId19">
          <a:extLst>
            <a:ext uri="{28A0092B-C50C-407E-A947-70E740481C1C}">
              <a14:useLocalDpi xmlns:a14="http://schemas.microsoft.com/office/drawing/2010/main" val="0"/>
            </a:ext>
          </a:extLst>
        </a:blip>
        <a:srcRect/>
        <a:stretch>
          <a:fillRect/>
        </a:stretch>
      </xdr:blipFill>
      <xdr:spPr bwMode="auto">
        <a:xfrm>
          <a:off x="1219200" y="7239000"/>
          <a:ext cx="1682750" cy="196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57</xdr:row>
      <xdr:rowOff>0</xdr:rowOff>
    </xdr:from>
    <xdr:to>
      <xdr:col>4</xdr:col>
      <xdr:colOff>463550</xdr:colOff>
      <xdr:row>58</xdr:row>
      <xdr:rowOff>6350</xdr:rowOff>
    </xdr:to>
    <xdr:pic>
      <xdr:nvPicPr>
        <xdr:cNvPr id="31" name="Picture 30"/>
        <xdr:cNvPicPr>
          <a:picLocks noChangeAspect="1" noChangeArrowheads="1"/>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1219200" y="7620000"/>
          <a:ext cx="1682750" cy="196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60</xdr:row>
      <xdr:rowOff>0</xdr:rowOff>
    </xdr:from>
    <xdr:to>
      <xdr:col>4</xdr:col>
      <xdr:colOff>463550</xdr:colOff>
      <xdr:row>61</xdr:row>
      <xdr:rowOff>6350</xdr:rowOff>
    </xdr:to>
    <xdr:pic>
      <xdr:nvPicPr>
        <xdr:cNvPr id="33" name="Picture 32"/>
        <xdr:cNvPicPr>
          <a:picLocks noChangeAspect="1" noChangeArrowheads="1"/>
        </xdr:cNvPicPr>
      </xdr:nvPicPr>
      <xdr:blipFill>
        <a:blip xmlns:r="http://schemas.openxmlformats.org/officeDocument/2006/relationships" r:embed="rId21">
          <a:extLst>
            <a:ext uri="{28A0092B-C50C-407E-A947-70E740481C1C}">
              <a14:useLocalDpi xmlns:a14="http://schemas.microsoft.com/office/drawing/2010/main" val="0"/>
            </a:ext>
          </a:extLst>
        </a:blip>
        <a:srcRect/>
        <a:stretch>
          <a:fillRect/>
        </a:stretch>
      </xdr:blipFill>
      <xdr:spPr bwMode="auto">
        <a:xfrm>
          <a:off x="1219200" y="8763000"/>
          <a:ext cx="1682750" cy="196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63</xdr:row>
      <xdr:rowOff>0</xdr:rowOff>
    </xdr:from>
    <xdr:to>
      <xdr:col>4</xdr:col>
      <xdr:colOff>463550</xdr:colOff>
      <xdr:row>64</xdr:row>
      <xdr:rowOff>6350</xdr:rowOff>
    </xdr:to>
    <xdr:pic>
      <xdr:nvPicPr>
        <xdr:cNvPr id="34" name="Picture 33"/>
        <xdr:cNvPicPr>
          <a:picLocks noChangeAspect="1" noChangeArrowheads="1"/>
        </xdr:cNvPicPr>
      </xdr:nvPicPr>
      <xdr:blipFill>
        <a:blip xmlns:r="http://schemas.openxmlformats.org/officeDocument/2006/relationships" r:embed="rId22">
          <a:extLst>
            <a:ext uri="{28A0092B-C50C-407E-A947-70E740481C1C}">
              <a14:useLocalDpi xmlns:a14="http://schemas.microsoft.com/office/drawing/2010/main" val="0"/>
            </a:ext>
          </a:extLst>
        </a:blip>
        <a:srcRect/>
        <a:stretch>
          <a:fillRect/>
        </a:stretch>
      </xdr:blipFill>
      <xdr:spPr bwMode="auto">
        <a:xfrm>
          <a:off x="1219200" y="9334500"/>
          <a:ext cx="1682750" cy="196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65</xdr:row>
      <xdr:rowOff>0</xdr:rowOff>
    </xdr:from>
    <xdr:to>
      <xdr:col>4</xdr:col>
      <xdr:colOff>463550</xdr:colOff>
      <xdr:row>66</xdr:row>
      <xdr:rowOff>6350</xdr:rowOff>
    </xdr:to>
    <xdr:pic>
      <xdr:nvPicPr>
        <xdr:cNvPr id="35" name="Picture 34"/>
        <xdr:cNvPicPr>
          <a:picLocks noChangeAspect="1" noChangeArrowheads="1"/>
        </xdr:cNvPicPr>
      </xdr:nvPicPr>
      <xdr:blipFill>
        <a:blip xmlns:r="http://schemas.openxmlformats.org/officeDocument/2006/relationships" r:embed="rId23">
          <a:extLst>
            <a:ext uri="{28A0092B-C50C-407E-A947-70E740481C1C}">
              <a14:useLocalDpi xmlns:a14="http://schemas.microsoft.com/office/drawing/2010/main" val="0"/>
            </a:ext>
          </a:extLst>
        </a:blip>
        <a:srcRect/>
        <a:stretch>
          <a:fillRect/>
        </a:stretch>
      </xdr:blipFill>
      <xdr:spPr bwMode="auto">
        <a:xfrm>
          <a:off x="1219200" y="9715500"/>
          <a:ext cx="1682750" cy="196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67</xdr:row>
      <xdr:rowOff>0</xdr:rowOff>
    </xdr:from>
    <xdr:to>
      <xdr:col>4</xdr:col>
      <xdr:colOff>463550</xdr:colOff>
      <xdr:row>68</xdr:row>
      <xdr:rowOff>6350</xdr:rowOff>
    </xdr:to>
    <xdr:pic>
      <xdr:nvPicPr>
        <xdr:cNvPr id="37" name="Picture 36"/>
        <xdr:cNvPicPr>
          <a:picLocks noChangeAspect="1" noChangeArrowheads="1"/>
        </xdr:cNvPicPr>
      </xdr:nvPicPr>
      <xdr:blipFill>
        <a:blip xmlns:r="http://schemas.openxmlformats.org/officeDocument/2006/relationships" r:embed="rId24">
          <a:extLst>
            <a:ext uri="{28A0092B-C50C-407E-A947-70E740481C1C}">
              <a14:useLocalDpi xmlns:a14="http://schemas.microsoft.com/office/drawing/2010/main" val="0"/>
            </a:ext>
          </a:extLst>
        </a:blip>
        <a:srcRect/>
        <a:stretch>
          <a:fillRect/>
        </a:stretch>
      </xdr:blipFill>
      <xdr:spPr bwMode="auto">
        <a:xfrm>
          <a:off x="1219200" y="10096500"/>
          <a:ext cx="1682750" cy="196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69</xdr:row>
      <xdr:rowOff>0</xdr:rowOff>
    </xdr:from>
    <xdr:to>
      <xdr:col>4</xdr:col>
      <xdr:colOff>463550</xdr:colOff>
      <xdr:row>69</xdr:row>
      <xdr:rowOff>196850</xdr:rowOff>
    </xdr:to>
    <xdr:pic>
      <xdr:nvPicPr>
        <xdr:cNvPr id="38" name="Picture 37"/>
        <xdr:cNvPicPr>
          <a:picLocks noChangeAspect="1" noChangeArrowheads="1"/>
        </xdr:cNvPicPr>
      </xdr:nvPicPr>
      <xdr:blipFill>
        <a:blip xmlns:r="http://schemas.openxmlformats.org/officeDocument/2006/relationships" r:embed="rId25">
          <a:extLst>
            <a:ext uri="{28A0092B-C50C-407E-A947-70E740481C1C}">
              <a14:useLocalDpi xmlns:a14="http://schemas.microsoft.com/office/drawing/2010/main" val="0"/>
            </a:ext>
          </a:extLst>
        </a:blip>
        <a:srcRect/>
        <a:stretch>
          <a:fillRect/>
        </a:stretch>
      </xdr:blipFill>
      <xdr:spPr bwMode="auto">
        <a:xfrm>
          <a:off x="1219200" y="10477500"/>
          <a:ext cx="1682750" cy="196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71</xdr:row>
      <xdr:rowOff>0</xdr:rowOff>
    </xdr:from>
    <xdr:to>
      <xdr:col>4</xdr:col>
      <xdr:colOff>463550</xdr:colOff>
      <xdr:row>71</xdr:row>
      <xdr:rowOff>196850</xdr:rowOff>
    </xdr:to>
    <xdr:pic>
      <xdr:nvPicPr>
        <xdr:cNvPr id="39" name="Picture 38"/>
        <xdr:cNvPicPr>
          <a:picLocks noChangeAspect="1" noChangeArrowheads="1"/>
        </xdr:cNvPicPr>
      </xdr:nvPicPr>
      <xdr:blipFill>
        <a:blip xmlns:r="http://schemas.openxmlformats.org/officeDocument/2006/relationships" r:embed="rId26">
          <a:extLst>
            <a:ext uri="{28A0092B-C50C-407E-A947-70E740481C1C}">
              <a14:useLocalDpi xmlns:a14="http://schemas.microsoft.com/office/drawing/2010/main" val="0"/>
            </a:ext>
          </a:extLst>
        </a:blip>
        <a:srcRect/>
        <a:stretch>
          <a:fillRect/>
        </a:stretch>
      </xdr:blipFill>
      <xdr:spPr bwMode="auto">
        <a:xfrm>
          <a:off x="1219200" y="10858500"/>
          <a:ext cx="1682750" cy="196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73</xdr:row>
      <xdr:rowOff>0</xdr:rowOff>
    </xdr:from>
    <xdr:to>
      <xdr:col>4</xdr:col>
      <xdr:colOff>463550</xdr:colOff>
      <xdr:row>74</xdr:row>
      <xdr:rowOff>6350</xdr:rowOff>
    </xdr:to>
    <xdr:pic>
      <xdr:nvPicPr>
        <xdr:cNvPr id="41" name="Picture 40"/>
        <xdr:cNvPicPr>
          <a:picLocks noChangeAspect="1" noChangeArrowheads="1"/>
        </xdr:cNvPicPr>
      </xdr:nvPicPr>
      <xdr:blipFill>
        <a:blip xmlns:r="http://schemas.openxmlformats.org/officeDocument/2006/relationships" r:embed="rId27">
          <a:extLst>
            <a:ext uri="{28A0092B-C50C-407E-A947-70E740481C1C}">
              <a14:useLocalDpi xmlns:a14="http://schemas.microsoft.com/office/drawing/2010/main" val="0"/>
            </a:ext>
          </a:extLst>
        </a:blip>
        <a:srcRect/>
        <a:stretch>
          <a:fillRect/>
        </a:stretch>
      </xdr:blipFill>
      <xdr:spPr bwMode="auto">
        <a:xfrm>
          <a:off x="1219200" y="11239500"/>
          <a:ext cx="1682750" cy="196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75</xdr:row>
      <xdr:rowOff>0</xdr:rowOff>
    </xdr:from>
    <xdr:to>
      <xdr:col>4</xdr:col>
      <xdr:colOff>463550</xdr:colOff>
      <xdr:row>75</xdr:row>
      <xdr:rowOff>196850</xdr:rowOff>
    </xdr:to>
    <xdr:pic>
      <xdr:nvPicPr>
        <xdr:cNvPr id="43" name="Picture 42"/>
        <xdr:cNvPicPr>
          <a:picLocks noChangeAspect="1" noChangeArrowheads="1"/>
        </xdr:cNvPicPr>
      </xdr:nvPicPr>
      <xdr:blipFill>
        <a:blip xmlns:r="http://schemas.openxmlformats.org/officeDocument/2006/relationships" r:embed="rId28">
          <a:extLst>
            <a:ext uri="{28A0092B-C50C-407E-A947-70E740481C1C}">
              <a14:useLocalDpi xmlns:a14="http://schemas.microsoft.com/office/drawing/2010/main" val="0"/>
            </a:ext>
          </a:extLst>
        </a:blip>
        <a:srcRect/>
        <a:stretch>
          <a:fillRect/>
        </a:stretch>
      </xdr:blipFill>
      <xdr:spPr bwMode="auto">
        <a:xfrm>
          <a:off x="1219200" y="11620500"/>
          <a:ext cx="1682750" cy="196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77</xdr:row>
      <xdr:rowOff>0</xdr:rowOff>
    </xdr:from>
    <xdr:to>
      <xdr:col>4</xdr:col>
      <xdr:colOff>463550</xdr:colOff>
      <xdr:row>78</xdr:row>
      <xdr:rowOff>6350</xdr:rowOff>
    </xdr:to>
    <xdr:pic>
      <xdr:nvPicPr>
        <xdr:cNvPr id="44" name="Picture 43"/>
        <xdr:cNvPicPr>
          <a:picLocks noChangeAspect="1" noChangeArrowheads="1"/>
        </xdr:cNvPicPr>
      </xdr:nvPicPr>
      <xdr:blipFill>
        <a:blip xmlns:r="http://schemas.openxmlformats.org/officeDocument/2006/relationships" r:embed="rId29">
          <a:extLst>
            <a:ext uri="{28A0092B-C50C-407E-A947-70E740481C1C}">
              <a14:useLocalDpi xmlns:a14="http://schemas.microsoft.com/office/drawing/2010/main" val="0"/>
            </a:ext>
          </a:extLst>
        </a:blip>
        <a:srcRect/>
        <a:stretch>
          <a:fillRect/>
        </a:stretch>
      </xdr:blipFill>
      <xdr:spPr bwMode="auto">
        <a:xfrm>
          <a:off x="1219200" y="11880850"/>
          <a:ext cx="1682750" cy="196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400050</xdr:colOff>
      <xdr:row>45</xdr:row>
      <xdr:rowOff>0</xdr:rowOff>
    </xdr:from>
    <xdr:to>
      <xdr:col>4</xdr:col>
      <xdr:colOff>463550</xdr:colOff>
      <xdr:row>46</xdr:row>
      <xdr:rowOff>6350</xdr:rowOff>
    </xdr:to>
    <xdr:pic>
      <xdr:nvPicPr>
        <xdr:cNvPr id="45" name="Picture 44"/>
        <xdr:cNvPicPr>
          <a:picLocks noChangeAspect="1" noChangeArrowheads="1"/>
        </xdr:cNvPicPr>
      </xdr:nvPicPr>
      <xdr:blipFill>
        <a:blip xmlns:r="http://schemas.openxmlformats.org/officeDocument/2006/relationships" r:embed="rId30">
          <a:extLst>
            <a:ext uri="{28A0092B-C50C-407E-A947-70E740481C1C}">
              <a14:useLocalDpi xmlns:a14="http://schemas.microsoft.com/office/drawing/2010/main" val="0"/>
            </a:ext>
          </a:extLst>
        </a:blip>
        <a:srcRect/>
        <a:stretch>
          <a:fillRect/>
        </a:stretch>
      </xdr:blipFill>
      <xdr:spPr bwMode="auto">
        <a:xfrm>
          <a:off x="1009650" y="7118350"/>
          <a:ext cx="1892300" cy="196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393700</xdr:colOff>
      <xdr:row>47</xdr:row>
      <xdr:rowOff>0</xdr:rowOff>
    </xdr:from>
    <xdr:to>
      <xdr:col>4</xdr:col>
      <xdr:colOff>457200</xdr:colOff>
      <xdr:row>48</xdr:row>
      <xdr:rowOff>6350</xdr:rowOff>
    </xdr:to>
    <xdr:pic>
      <xdr:nvPicPr>
        <xdr:cNvPr id="46" name="Picture 45"/>
        <xdr:cNvPicPr>
          <a:picLocks noChangeAspect="1" noChangeArrowheads="1"/>
        </xdr:cNvPicPr>
      </xdr:nvPicPr>
      <xdr:blipFill>
        <a:blip xmlns:r="http://schemas.openxmlformats.org/officeDocument/2006/relationships" r:embed="rId31">
          <a:extLst>
            <a:ext uri="{28A0092B-C50C-407E-A947-70E740481C1C}">
              <a14:useLocalDpi xmlns:a14="http://schemas.microsoft.com/office/drawing/2010/main" val="0"/>
            </a:ext>
          </a:extLst>
        </a:blip>
        <a:srcRect/>
        <a:stretch>
          <a:fillRect/>
        </a:stretch>
      </xdr:blipFill>
      <xdr:spPr bwMode="auto">
        <a:xfrm>
          <a:off x="1003300" y="7499350"/>
          <a:ext cx="1892300" cy="196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387350</xdr:colOff>
      <xdr:row>49</xdr:row>
      <xdr:rowOff>6350</xdr:rowOff>
    </xdr:from>
    <xdr:to>
      <xdr:col>4</xdr:col>
      <xdr:colOff>450850</xdr:colOff>
      <xdr:row>50</xdr:row>
      <xdr:rowOff>12700</xdr:rowOff>
    </xdr:to>
    <xdr:pic>
      <xdr:nvPicPr>
        <xdr:cNvPr id="47" name="Picture 46"/>
        <xdr:cNvPicPr>
          <a:picLocks noChangeAspect="1" noChangeArrowheads="1"/>
        </xdr:cNvPicPr>
      </xdr:nvPicPr>
      <xdr:blipFill>
        <a:blip xmlns:r="http://schemas.openxmlformats.org/officeDocument/2006/relationships" r:embed="rId32">
          <a:extLst>
            <a:ext uri="{28A0092B-C50C-407E-A947-70E740481C1C}">
              <a14:useLocalDpi xmlns:a14="http://schemas.microsoft.com/office/drawing/2010/main" val="0"/>
            </a:ext>
          </a:extLst>
        </a:blip>
        <a:srcRect/>
        <a:stretch>
          <a:fillRect/>
        </a:stretch>
      </xdr:blipFill>
      <xdr:spPr bwMode="auto">
        <a:xfrm>
          <a:off x="996950" y="7886700"/>
          <a:ext cx="1892300" cy="196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7"/>
  <sheetViews>
    <sheetView workbookViewId="0">
      <pane ySplit="2" topLeftCell="A60" activePane="bottomLeft" state="frozen"/>
      <selection pane="bottomLeft" activeCell="F72" sqref="F72"/>
    </sheetView>
  </sheetViews>
  <sheetFormatPr defaultRowHeight="14.4" x14ac:dyDescent="0.3"/>
  <cols>
    <col min="6" max="6" width="100.109375" style="246" customWidth="1"/>
  </cols>
  <sheetData>
    <row r="1" spans="1:7" s="242" customFormat="1" ht="18" customHeight="1" x14ac:dyDescent="0.35">
      <c r="A1" s="241" t="s">
        <v>272</v>
      </c>
      <c r="B1" s="241"/>
      <c r="C1" s="241"/>
      <c r="D1" s="241"/>
      <c r="E1" s="241"/>
      <c r="F1" s="244" t="s">
        <v>271</v>
      </c>
      <c r="G1" s="241"/>
    </row>
    <row r="2" spans="1:7" s="243" customFormat="1" ht="1.95" customHeight="1" x14ac:dyDescent="0.3">
      <c r="F2" s="245"/>
    </row>
    <row r="3" spans="1:7" ht="15" customHeight="1" x14ac:dyDescent="0.3">
      <c r="F3" s="246" t="s">
        <v>273</v>
      </c>
    </row>
    <row r="4" spans="1:7" ht="15" customHeight="1" x14ac:dyDescent="0.3"/>
    <row r="5" spans="1:7" ht="15" customHeight="1" x14ac:dyDescent="0.3">
      <c r="F5" s="246" t="s">
        <v>274</v>
      </c>
    </row>
    <row r="6" spans="1:7" s="175" customFormat="1" ht="15" customHeight="1" x14ac:dyDescent="0.3">
      <c r="F6" s="246" t="s">
        <v>275</v>
      </c>
    </row>
    <row r="7" spans="1:7" s="175" customFormat="1" ht="15" customHeight="1" x14ac:dyDescent="0.3">
      <c r="F7" s="246" t="s">
        <v>276</v>
      </c>
    </row>
    <row r="8" spans="1:7" s="175" customFormat="1" ht="15" customHeight="1" x14ac:dyDescent="0.3">
      <c r="F8" s="246" t="s">
        <v>277</v>
      </c>
    </row>
    <row r="9" spans="1:7" s="175" customFormat="1" ht="15" customHeight="1" x14ac:dyDescent="0.3">
      <c r="F9" s="246" t="s">
        <v>278</v>
      </c>
    </row>
    <row r="10" spans="1:7" s="175" customFormat="1" ht="15" customHeight="1" x14ac:dyDescent="0.3">
      <c r="F10" s="246" t="s">
        <v>279</v>
      </c>
    </row>
    <row r="11" spans="1:7" ht="15" customHeight="1" x14ac:dyDescent="0.3"/>
    <row r="12" spans="1:7" ht="15" customHeight="1" x14ac:dyDescent="0.3">
      <c r="F12" s="246" t="s">
        <v>280</v>
      </c>
    </row>
    <row r="13" spans="1:7" ht="15" customHeight="1" x14ac:dyDescent="0.3"/>
    <row r="14" spans="1:7" ht="15" customHeight="1" x14ac:dyDescent="0.3">
      <c r="F14" s="246" t="s">
        <v>281</v>
      </c>
    </row>
    <row r="15" spans="1:7" ht="15" customHeight="1" x14ac:dyDescent="0.3"/>
    <row r="16" spans="1:7" ht="15" customHeight="1" x14ac:dyDescent="0.3">
      <c r="F16" s="246" t="s">
        <v>282</v>
      </c>
    </row>
    <row r="17" spans="6:6" s="175" customFormat="1" ht="15" customHeight="1" x14ac:dyDescent="0.3">
      <c r="F17" s="246"/>
    </row>
    <row r="18" spans="6:6" ht="15" customHeight="1" x14ac:dyDescent="0.3">
      <c r="F18" s="246" t="s">
        <v>283</v>
      </c>
    </row>
    <row r="19" spans="6:6" ht="15" customHeight="1" x14ac:dyDescent="0.3">
      <c r="F19" s="246" t="s">
        <v>284</v>
      </c>
    </row>
    <row r="20" spans="6:6" s="175" customFormat="1" ht="15" customHeight="1" x14ac:dyDescent="0.3">
      <c r="F20" s="246"/>
    </row>
    <row r="21" spans="6:6" ht="44.4" customHeight="1" x14ac:dyDescent="0.3">
      <c r="F21" s="257" t="s">
        <v>285</v>
      </c>
    </row>
    <row r="22" spans="6:6" ht="15" customHeight="1" x14ac:dyDescent="0.3"/>
    <row r="23" spans="6:6" ht="49.8" customHeight="1" x14ac:dyDescent="0.3">
      <c r="F23" s="257" t="s">
        <v>286</v>
      </c>
    </row>
    <row r="24" spans="6:6" ht="15" customHeight="1" x14ac:dyDescent="0.3"/>
    <row r="25" spans="6:6" ht="44.4" customHeight="1" x14ac:dyDescent="0.3">
      <c r="F25" s="257" t="s">
        <v>287</v>
      </c>
    </row>
    <row r="26" spans="6:6" ht="15" customHeight="1" x14ac:dyDescent="0.3"/>
    <row r="27" spans="6:6" ht="15" customHeight="1" x14ac:dyDescent="0.3">
      <c r="F27" s="246" t="s">
        <v>288</v>
      </c>
    </row>
    <row r="28" spans="6:6" s="175" customFormat="1" ht="15" customHeight="1" x14ac:dyDescent="0.3">
      <c r="F28" s="246" t="s">
        <v>289</v>
      </c>
    </row>
    <row r="29" spans="6:6" ht="15" customHeight="1" x14ac:dyDescent="0.3"/>
    <row r="30" spans="6:6" ht="15" customHeight="1" x14ac:dyDescent="0.3">
      <c r="F30" s="246" t="s">
        <v>290</v>
      </c>
    </row>
    <row r="31" spans="6:6" ht="15" customHeight="1" x14ac:dyDescent="0.3"/>
    <row r="32" spans="6:6" ht="15" customHeight="1" x14ac:dyDescent="0.3">
      <c r="F32" s="246" t="s">
        <v>291</v>
      </c>
    </row>
    <row r="33" spans="2:6" ht="15" customHeight="1" x14ac:dyDescent="0.3"/>
    <row r="34" spans="2:6" ht="15" customHeight="1" x14ac:dyDescent="0.3">
      <c r="F34" s="246" t="s">
        <v>292</v>
      </c>
    </row>
    <row r="35" spans="2:6" s="175" customFormat="1" ht="15" customHeight="1" x14ac:dyDescent="0.3">
      <c r="F35" s="246"/>
    </row>
    <row r="36" spans="2:6" ht="15" customHeight="1" x14ac:dyDescent="0.3">
      <c r="B36" s="14" t="s">
        <v>3</v>
      </c>
    </row>
    <row r="37" spans="2:6" ht="15" customHeight="1" x14ac:dyDescent="0.3">
      <c r="F37" s="246" t="s">
        <v>293</v>
      </c>
    </row>
    <row r="38" spans="2:6" ht="15" customHeight="1" x14ac:dyDescent="0.3"/>
    <row r="39" spans="2:6" ht="15" customHeight="1" x14ac:dyDescent="0.3">
      <c r="F39" s="246" t="s">
        <v>294</v>
      </c>
    </row>
    <row r="40" spans="2:6" ht="15" customHeight="1" x14ac:dyDescent="0.3"/>
    <row r="41" spans="2:6" ht="15" customHeight="1" x14ac:dyDescent="0.3">
      <c r="F41" s="246" t="s">
        <v>295</v>
      </c>
    </row>
    <row r="42" spans="2:6" ht="15" customHeight="1" x14ac:dyDescent="0.3"/>
    <row r="43" spans="2:6" ht="46.8" customHeight="1" x14ac:dyDescent="0.3">
      <c r="F43" s="257" t="s">
        <v>296</v>
      </c>
    </row>
    <row r="44" spans="2:6" s="175" customFormat="1" ht="15" customHeight="1" x14ac:dyDescent="0.3">
      <c r="F44" s="246"/>
    </row>
    <row r="45" spans="2:6" s="175" customFormat="1" ht="15" customHeight="1" x14ac:dyDescent="0.3">
      <c r="B45" s="14" t="s">
        <v>4</v>
      </c>
      <c r="F45" s="246"/>
    </row>
    <row r="46" spans="2:6" s="175" customFormat="1" ht="15" customHeight="1" x14ac:dyDescent="0.3">
      <c r="F46" s="246" t="s">
        <v>297</v>
      </c>
    </row>
    <row r="47" spans="2:6" s="175" customFormat="1" ht="15" customHeight="1" x14ac:dyDescent="0.3">
      <c r="F47" s="246"/>
    </row>
    <row r="48" spans="2:6" s="175" customFormat="1" ht="15" customHeight="1" x14ac:dyDescent="0.3">
      <c r="F48" s="246" t="s">
        <v>298</v>
      </c>
    </row>
    <row r="49" spans="2:6" s="175" customFormat="1" ht="15" customHeight="1" x14ac:dyDescent="0.3">
      <c r="F49" s="246"/>
    </row>
    <row r="50" spans="2:6" s="175" customFormat="1" ht="15" customHeight="1" x14ac:dyDescent="0.3">
      <c r="F50" s="246" t="s">
        <v>298</v>
      </c>
    </row>
    <row r="51" spans="2:6" s="175" customFormat="1" ht="15" customHeight="1" x14ac:dyDescent="0.3">
      <c r="F51" s="246"/>
    </row>
    <row r="52" spans="2:6" ht="15" customHeight="1" x14ac:dyDescent="0.3">
      <c r="B52" s="14" t="s">
        <v>37</v>
      </c>
    </row>
    <row r="53" spans="2:6" ht="15" customHeight="1" x14ac:dyDescent="0.3">
      <c r="F53" s="246" t="s">
        <v>299</v>
      </c>
    </row>
    <row r="54" spans="2:6" ht="15" customHeight="1" x14ac:dyDescent="0.3"/>
    <row r="55" spans="2:6" ht="33" customHeight="1" x14ac:dyDescent="0.3">
      <c r="F55" s="257" t="s">
        <v>300</v>
      </c>
    </row>
    <row r="56" spans="2:6" s="175" customFormat="1" ht="15" customHeight="1" x14ac:dyDescent="0.3">
      <c r="F56" s="246"/>
    </row>
    <row r="57" spans="2:6" ht="15" customHeight="1" x14ac:dyDescent="0.3">
      <c r="B57" s="240" t="s">
        <v>65</v>
      </c>
    </row>
    <row r="58" spans="2:6" ht="15" customHeight="1" x14ac:dyDescent="0.3">
      <c r="F58" s="246" t="s">
        <v>301</v>
      </c>
    </row>
    <row r="59" spans="2:6" ht="15" customHeight="1" x14ac:dyDescent="0.3"/>
    <row r="60" spans="2:6" ht="15" customHeight="1" x14ac:dyDescent="0.3">
      <c r="B60" s="240" t="s">
        <v>72</v>
      </c>
    </row>
    <row r="61" spans="2:6" ht="15" customHeight="1" x14ac:dyDescent="0.3">
      <c r="F61" s="246" t="s">
        <v>302</v>
      </c>
    </row>
    <row r="62" spans="2:6" ht="15" customHeight="1" x14ac:dyDescent="0.3"/>
    <row r="63" spans="2:6" ht="15" customHeight="1" x14ac:dyDescent="0.3">
      <c r="B63" s="240" t="s">
        <v>84</v>
      </c>
    </row>
    <row r="64" spans="2:6" ht="15" customHeight="1" x14ac:dyDescent="0.3">
      <c r="F64" s="246" t="s">
        <v>303</v>
      </c>
    </row>
    <row r="65" spans="6:6" ht="15" customHeight="1" x14ac:dyDescent="0.3"/>
    <row r="66" spans="6:6" ht="15" customHeight="1" x14ac:dyDescent="0.3">
      <c r="F66" s="246" t="s">
        <v>304</v>
      </c>
    </row>
    <row r="67" spans="6:6" ht="15" customHeight="1" x14ac:dyDescent="0.3"/>
    <row r="68" spans="6:6" ht="15" customHeight="1" x14ac:dyDescent="0.3">
      <c r="F68" s="246" t="s">
        <v>305</v>
      </c>
    </row>
    <row r="69" spans="6:6" ht="15" customHeight="1" x14ac:dyDescent="0.3"/>
    <row r="70" spans="6:6" ht="31.2" customHeight="1" x14ac:dyDescent="0.3">
      <c r="F70" s="257" t="s">
        <v>306</v>
      </c>
    </row>
    <row r="71" spans="6:6" ht="15" customHeight="1" x14ac:dyDescent="0.3"/>
    <row r="72" spans="6:6" ht="36.6" customHeight="1" x14ac:dyDescent="0.3">
      <c r="F72" s="257" t="s">
        <v>307</v>
      </c>
    </row>
    <row r="73" spans="6:6" ht="15" customHeight="1" x14ac:dyDescent="0.3"/>
    <row r="74" spans="6:6" ht="15" customHeight="1" x14ac:dyDescent="0.3">
      <c r="F74" s="246" t="s">
        <v>308</v>
      </c>
    </row>
    <row r="75" spans="6:6" ht="15" customHeight="1" x14ac:dyDescent="0.3"/>
    <row r="76" spans="6:6" ht="64.2" customHeight="1" x14ac:dyDescent="0.3">
      <c r="F76" s="257" t="s">
        <v>309</v>
      </c>
    </row>
    <row r="77" spans="6:6" ht="15" customHeight="1" x14ac:dyDescent="0.3"/>
    <row r="78" spans="6:6" ht="15" customHeight="1" x14ac:dyDescent="0.3"/>
    <row r="79" spans="6:6" ht="15" customHeight="1" x14ac:dyDescent="0.3"/>
    <row r="80" spans="6:6" ht="15" customHeight="1" x14ac:dyDescent="0.3"/>
    <row r="81" ht="15" customHeight="1" x14ac:dyDescent="0.3"/>
    <row r="82" ht="15" customHeight="1" x14ac:dyDescent="0.3"/>
    <row r="83" ht="15" customHeight="1" x14ac:dyDescent="0.3"/>
    <row r="84" ht="15" customHeight="1" x14ac:dyDescent="0.3"/>
    <row r="85" ht="15" customHeight="1" x14ac:dyDescent="0.3"/>
    <row r="86" ht="15" customHeight="1" x14ac:dyDescent="0.3"/>
    <row r="87" ht="15" customHeight="1" x14ac:dyDescent="0.3"/>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Y86"/>
  <sheetViews>
    <sheetView tabSelected="1" zoomScaleNormal="100" workbookViewId="0">
      <selection sqref="A1:K1"/>
    </sheetView>
  </sheetViews>
  <sheetFormatPr defaultColWidth="9.21875" defaultRowHeight="14.4" x14ac:dyDescent="0.3"/>
  <cols>
    <col min="1" max="1" width="23.21875" style="3" customWidth="1"/>
    <col min="2" max="2" width="18.5546875" style="3" customWidth="1"/>
    <col min="3" max="3" width="4.21875" style="3" customWidth="1"/>
    <col min="4" max="4" width="13.5546875" style="3" customWidth="1"/>
    <col min="5" max="5" width="10.77734375" style="3" customWidth="1"/>
    <col min="6" max="6" width="10.44140625" style="3" customWidth="1"/>
    <col min="7" max="7" width="12.5546875" style="3" bestFit="1" customWidth="1"/>
    <col min="8" max="8" width="15.5546875" style="176" customWidth="1"/>
    <col min="9" max="9" width="8.44140625" style="3" customWidth="1"/>
    <col min="10" max="10" width="18.44140625" style="3" customWidth="1"/>
    <col min="11" max="11" width="8.5546875" style="3" customWidth="1"/>
    <col min="12" max="12" width="8.77734375" style="3" customWidth="1"/>
    <col min="13" max="13" width="33.5546875" style="3" customWidth="1"/>
    <col min="14" max="16" width="9.21875" style="3" customWidth="1"/>
    <col min="17" max="17" width="19.44140625" style="3" customWidth="1"/>
    <col min="18" max="22" width="9.21875" style="3" customWidth="1"/>
    <col min="23" max="24" width="9.21875" style="3"/>
    <col min="25" max="25" width="20.44140625" style="3" customWidth="1"/>
    <col min="26" max="16384" width="9.21875" style="3"/>
  </cols>
  <sheetData>
    <row r="1" spans="1:23" ht="18" x14ac:dyDescent="0.35">
      <c r="A1" s="249" t="s">
        <v>0</v>
      </c>
      <c r="B1" s="250"/>
      <c r="C1" s="250"/>
      <c r="D1" s="250"/>
      <c r="E1" s="250"/>
      <c r="F1" s="250"/>
      <c r="G1" s="250"/>
      <c r="H1" s="251"/>
      <c r="I1" s="251"/>
      <c r="J1" s="251"/>
      <c r="K1" s="252"/>
    </row>
    <row r="2" spans="1:23" ht="8.1" customHeight="1" thickBot="1" x14ac:dyDescent="0.35">
      <c r="A2" s="51"/>
      <c r="B2" s="52"/>
      <c r="C2" s="52"/>
      <c r="D2" s="52"/>
      <c r="E2" s="52"/>
      <c r="F2" s="52"/>
      <c r="G2" s="52"/>
      <c r="H2" s="178"/>
      <c r="I2" s="174"/>
      <c r="J2" s="174"/>
      <c r="K2" s="174"/>
    </row>
    <row r="3" spans="1:23" ht="15" customHeight="1" thickBot="1" x14ac:dyDescent="0.35">
      <c r="A3" s="247" t="s">
        <v>1</v>
      </c>
      <c r="B3" s="248"/>
      <c r="D3" s="98" t="s">
        <v>2</v>
      </c>
      <c r="E3" s="108" t="s">
        <v>260</v>
      </c>
      <c r="F3" s="109" t="s">
        <v>261</v>
      </c>
      <c r="G3" s="110" t="s">
        <v>262</v>
      </c>
      <c r="H3" s="14" t="s">
        <v>3</v>
      </c>
      <c r="J3" s="14" t="s">
        <v>4</v>
      </c>
      <c r="K3" s="39"/>
      <c r="M3" s="32" t="s">
        <v>5</v>
      </c>
      <c r="N3" s="38"/>
      <c r="Q3" s="13" t="s">
        <v>34</v>
      </c>
    </row>
    <row r="4" spans="1:23" ht="15" customHeight="1" x14ac:dyDescent="0.3">
      <c r="A4" s="14" t="s">
        <v>6</v>
      </c>
      <c r="B4" s="4" t="s">
        <v>256</v>
      </c>
      <c r="D4" s="99" t="s">
        <v>8</v>
      </c>
      <c r="E4" s="111">
        <f>G4-F4</f>
        <v>6.9707670043415355</v>
      </c>
      <c r="F4" s="112">
        <f>FixtureHot*shower_pc*SHeff</f>
        <v>17.113232995658468</v>
      </c>
      <c r="G4" s="113">
        <f>FixtureTot*shower_pc*SHeff</f>
        <v>24.084000000000003</v>
      </c>
      <c r="H4" s="177" t="s">
        <v>9</v>
      </c>
      <c r="I4" s="4">
        <v>2400</v>
      </c>
      <c r="J4" s="10" t="s">
        <v>10</v>
      </c>
      <c r="K4" s="4" t="s">
        <v>11</v>
      </c>
      <c r="M4" s="16" t="s">
        <v>12</v>
      </c>
      <c r="N4" s="22" t="s">
        <v>13</v>
      </c>
      <c r="Q4" s="48" t="s">
        <v>42</v>
      </c>
      <c r="R4" s="48" t="s">
        <v>43</v>
      </c>
      <c r="S4" s="55" t="s">
        <v>44</v>
      </c>
      <c r="T4" s="48" t="s">
        <v>45</v>
      </c>
      <c r="U4" s="50" t="s">
        <v>46</v>
      </c>
      <c r="V4" s="49" t="s">
        <v>47</v>
      </c>
      <c r="W4" s="48" t="s">
        <v>251</v>
      </c>
    </row>
    <row r="5" spans="1:23" ht="15" customHeight="1" x14ac:dyDescent="0.3">
      <c r="A5" s="14" t="s">
        <v>14</v>
      </c>
      <c r="B5" s="4" t="s">
        <v>15</v>
      </c>
      <c r="D5" s="99" t="s">
        <v>16</v>
      </c>
      <c r="E5" s="111">
        <f>G5-F5</f>
        <v>4.097261939218523</v>
      </c>
      <c r="F5" s="118">
        <f>kitch*FixtureHot*faucet_pc*KitchFeff</f>
        <v>10.058778060781474</v>
      </c>
      <c r="G5" s="113">
        <f>kitch*FixtureTot*faucet_pc*KitchFeff</f>
        <v>14.156039999999997</v>
      </c>
      <c r="H5" s="177" t="s">
        <v>17</v>
      </c>
      <c r="I5" s="4">
        <v>3</v>
      </c>
      <c r="J5" s="10" t="s">
        <v>18</v>
      </c>
      <c r="K5" s="4" t="s">
        <v>19</v>
      </c>
      <c r="M5" s="23" t="s">
        <v>15</v>
      </c>
      <c r="N5" s="24">
        <v>1</v>
      </c>
      <c r="Q5" s="15" t="s">
        <v>15</v>
      </c>
      <c r="R5" s="15" t="s">
        <v>15</v>
      </c>
      <c r="S5" s="15" t="s">
        <v>21</v>
      </c>
      <c r="T5" s="15" t="s">
        <v>51</v>
      </c>
      <c r="U5" s="15" t="s">
        <v>52</v>
      </c>
      <c r="V5" s="40" t="s">
        <v>11</v>
      </c>
      <c r="W5" s="15" t="s">
        <v>19</v>
      </c>
    </row>
    <row r="6" spans="1:23" ht="15" customHeight="1" x14ac:dyDescent="0.35">
      <c r="A6" s="14" t="s">
        <v>20</v>
      </c>
      <c r="B6" s="4" t="s">
        <v>21</v>
      </c>
      <c r="D6" s="99" t="s">
        <v>22</v>
      </c>
      <c r="E6" s="111">
        <f>G6-F6</f>
        <v>1.8407988422575983</v>
      </c>
      <c r="F6" s="118">
        <f>lav*FixtureHot*faucet_pc*LavFeff</f>
        <v>4.5191611577424027</v>
      </c>
      <c r="G6" s="113">
        <f>lav*FixtureTot*faucet_pc*LavFeff</f>
        <v>6.3599600000000009</v>
      </c>
      <c r="H6" s="177" t="s">
        <v>23</v>
      </c>
      <c r="I6" s="4">
        <v>2</v>
      </c>
      <c r="J6" s="10" t="s">
        <v>24</v>
      </c>
      <c r="K6" s="70">
        <v>0.54</v>
      </c>
      <c r="M6" s="23" t="s">
        <v>25</v>
      </c>
      <c r="N6" s="24">
        <v>0.95</v>
      </c>
      <c r="Q6" s="15" t="s">
        <v>56</v>
      </c>
      <c r="R6" s="15" t="s">
        <v>57</v>
      </c>
      <c r="S6" s="56" t="s">
        <v>41</v>
      </c>
      <c r="T6" s="15" t="s">
        <v>58</v>
      </c>
      <c r="U6" s="15" t="s">
        <v>19</v>
      </c>
      <c r="V6" s="40" t="s">
        <v>59</v>
      </c>
      <c r="W6" s="15" t="s">
        <v>52</v>
      </c>
    </row>
    <row r="7" spans="1:23" ht="15" customHeight="1" x14ac:dyDescent="0.3">
      <c r="A7" s="14" t="s">
        <v>26</v>
      </c>
      <c r="B7" s="4">
        <v>2.5</v>
      </c>
      <c r="D7" s="99" t="s">
        <v>27</v>
      </c>
      <c r="E7" s="111">
        <f>G7-F7</f>
        <v>4.5492537684772731</v>
      </c>
      <c r="F7" s="112">
        <f>F_eff*(oWgpd+sWgpd*WDeff)*adjFmix</f>
        <v>11.168418001611705</v>
      </c>
      <c r="G7" s="113">
        <f>F_eff*(oWgpd+sWgpd*WDeff)</f>
        <v>15.717671770088979</v>
      </c>
      <c r="H7" s="177" t="s">
        <v>28</v>
      </c>
      <c r="I7" s="4">
        <v>0</v>
      </c>
      <c r="J7" s="71" t="s">
        <v>29</v>
      </c>
      <c r="K7" s="123">
        <f>Tavg+Tmains_offset</f>
        <v>55.9</v>
      </c>
      <c r="M7" s="8"/>
      <c r="N7" s="9"/>
      <c r="Q7" s="15" t="s">
        <v>62</v>
      </c>
      <c r="R7" s="15"/>
      <c r="T7" s="15"/>
      <c r="V7" s="5"/>
    </row>
    <row r="8" spans="1:23" ht="15" customHeight="1" x14ac:dyDescent="0.3">
      <c r="A8" s="14" t="s">
        <v>30</v>
      </c>
      <c r="B8" s="4">
        <v>2.2000000000000002</v>
      </c>
      <c r="D8" s="99" t="s">
        <v>31</v>
      </c>
      <c r="E8" s="111">
        <f>G8-F8</f>
        <v>20.629863439077191</v>
      </c>
      <c r="F8" s="112">
        <f>CWgpd</f>
        <v>3.8887507850298402</v>
      </c>
      <c r="G8" s="113">
        <f>CAPw*CWwf*ACY/365</f>
        <v>24.518614224107033</v>
      </c>
      <c r="H8" s="125" t="s">
        <v>37</v>
      </c>
      <c r="J8" s="71" t="s">
        <v>32</v>
      </c>
      <c r="K8" s="73">
        <f>IF($B$14="yes",Ifrac*(DWHRinT-Tmains)*DWHReff*PLC*LocF*FixF,0)</f>
        <v>0</v>
      </c>
      <c r="M8" s="17" t="s">
        <v>33</v>
      </c>
      <c r="Q8" s="15" t="s">
        <v>66</v>
      </c>
      <c r="R8" s="15"/>
      <c r="T8" s="15"/>
    </row>
    <row r="9" spans="1:23" ht="15" customHeight="1" x14ac:dyDescent="0.3">
      <c r="A9" s="14" t="s">
        <v>35</v>
      </c>
      <c r="B9" s="4" t="s">
        <v>15</v>
      </c>
      <c r="D9" s="99" t="s">
        <v>36</v>
      </c>
      <c r="E9" s="111"/>
      <c r="F9" s="112">
        <f>DWgpd</f>
        <v>1.1716654256360075</v>
      </c>
      <c r="G9" s="113">
        <f>DWgpd</f>
        <v>1.1716654256360075</v>
      </c>
      <c r="H9" s="177" t="s">
        <v>50</v>
      </c>
      <c r="I9" s="4" t="s">
        <v>92</v>
      </c>
      <c r="J9" s="71" t="s">
        <v>38</v>
      </c>
      <c r="K9" s="72">
        <f>IF($B$14="no",Tmains,Tmains+WHinTadj)</f>
        <v>55.9</v>
      </c>
      <c r="M9" s="66" t="s">
        <v>39</v>
      </c>
      <c r="N9" s="67" t="s">
        <v>40</v>
      </c>
      <c r="O9" s="67" t="s">
        <v>41</v>
      </c>
      <c r="Q9" s="15" t="s">
        <v>70</v>
      </c>
      <c r="R9" s="15"/>
      <c r="T9" s="15"/>
      <c r="U9" s="10"/>
      <c r="V9" s="15"/>
    </row>
    <row r="10" spans="1:23" ht="15" customHeight="1" x14ac:dyDescent="0.3">
      <c r="A10" s="100" t="s">
        <v>48</v>
      </c>
      <c r="B10" s="68">
        <f>refPipeL*100%</f>
        <v>89.282032302755098</v>
      </c>
      <c r="D10" s="134" t="s">
        <v>49</v>
      </c>
      <c r="E10" s="111">
        <f>G10-F10</f>
        <v>21.896799999999999</v>
      </c>
      <c r="F10" s="112"/>
      <c r="G10" s="113">
        <f>refFPO*gpf*Occ</f>
        <v>21.896799999999999</v>
      </c>
      <c r="H10" s="179" t="s">
        <v>55</v>
      </c>
      <c r="I10" s="4" t="s">
        <v>15</v>
      </c>
      <c r="M10" s="58" t="s">
        <v>15</v>
      </c>
      <c r="N10" s="65">
        <v>1</v>
      </c>
      <c r="O10" s="65">
        <v>0.9</v>
      </c>
      <c r="R10" s="15"/>
      <c r="U10" s="10"/>
      <c r="V10" s="15"/>
    </row>
    <row r="11" spans="1:23" ht="15" customHeight="1" x14ac:dyDescent="0.3">
      <c r="A11" s="14" t="s">
        <v>53</v>
      </c>
      <c r="B11" s="68">
        <f>refLoopL*100%</f>
        <v>158.5640646055102</v>
      </c>
      <c r="C11" s="91"/>
      <c r="D11" s="134" t="s">
        <v>54</v>
      </c>
      <c r="E11" s="111">
        <f>Soft_gpd</f>
        <v>0</v>
      </c>
      <c r="F11" s="112"/>
      <c r="G11" s="113">
        <f>Soft_gpd</f>
        <v>0</v>
      </c>
      <c r="H11" s="177" t="s">
        <v>61</v>
      </c>
      <c r="I11" s="206">
        <f>VLOOKUP($I$10,$Q$12:$W$15,7,0)</f>
        <v>9.5</v>
      </c>
      <c r="K11" s="10"/>
      <c r="L11" s="10"/>
      <c r="M11" s="20" t="s">
        <v>56</v>
      </c>
      <c r="N11" s="65">
        <v>1.1100000000000001</v>
      </c>
      <c r="O11" s="65">
        <v>1</v>
      </c>
      <c r="Q11" s="48" t="s">
        <v>77</v>
      </c>
      <c r="R11" s="80" t="s">
        <v>78</v>
      </c>
      <c r="S11" s="80" t="s">
        <v>79</v>
      </c>
      <c r="T11" s="80" t="s">
        <v>80</v>
      </c>
      <c r="U11" s="80" t="s">
        <v>81</v>
      </c>
      <c r="V11" s="81" t="s">
        <v>82</v>
      </c>
      <c r="W11" s="114" t="s">
        <v>61</v>
      </c>
    </row>
    <row r="12" spans="1:23" ht="15" customHeight="1" x14ac:dyDescent="0.3">
      <c r="A12" s="14" t="s">
        <v>60</v>
      </c>
      <c r="B12" s="4">
        <f>10*100%</f>
        <v>10</v>
      </c>
      <c r="D12" s="99" t="s">
        <v>238</v>
      </c>
      <c r="E12" s="111">
        <f>G12-F12</f>
        <v>15.700000000000001</v>
      </c>
      <c r="F12" s="112">
        <f>HotOther_br*Nbr</f>
        <v>2.1</v>
      </c>
      <c r="G12" s="113">
        <f>TotOther_br*Nbr</f>
        <v>17.8</v>
      </c>
      <c r="H12" s="125" t="s">
        <v>65</v>
      </c>
      <c r="L12" s="6"/>
      <c r="M12" s="20" t="s">
        <v>62</v>
      </c>
      <c r="N12" s="65">
        <v>1.1100000000000001</v>
      </c>
      <c r="O12" s="65">
        <v>1</v>
      </c>
      <c r="P12" s="61"/>
      <c r="Q12" s="15" t="s">
        <v>15</v>
      </c>
      <c r="R12" s="175">
        <v>2.8740000000000001</v>
      </c>
      <c r="S12" s="175">
        <v>704</v>
      </c>
      <c r="T12" s="175">
        <v>8.0299999999999996E-2</v>
      </c>
      <c r="U12" s="175">
        <v>0.57999999999999996</v>
      </c>
      <c r="V12" s="175">
        <v>23</v>
      </c>
      <c r="W12" s="115">
        <v>9.5</v>
      </c>
    </row>
    <row r="13" spans="1:23" ht="15" customHeight="1" thickBot="1" x14ac:dyDescent="0.35">
      <c r="A13" s="14" t="s">
        <v>63</v>
      </c>
      <c r="B13" s="4">
        <f>50*100%</f>
        <v>50</v>
      </c>
      <c r="C13" s="54"/>
      <c r="D13" s="99" t="s">
        <v>244</v>
      </c>
      <c r="E13" s="111">
        <f>IF(Static_Pressure&gt;90,(E4+0.5*(E5+E6+E12))*(0.006*(Static_Pressure-90)),0)</f>
        <v>0</v>
      </c>
      <c r="F13" s="112">
        <f>IF(Static_Pressure&gt;90,(F4+0.5*(F5+F6+F12))*(0.006*(Static_Pressure-90)),0)</f>
        <v>0</v>
      </c>
      <c r="G13" s="113">
        <f>IF(Static_Pressure&gt;90,(G4+0.5*(G5+G6+G12))*(0.006*(Static_Pressure-90)),0)</f>
        <v>0</v>
      </c>
      <c r="H13" s="177" t="s">
        <v>69</v>
      </c>
      <c r="I13" s="126">
        <v>1.6</v>
      </c>
      <c r="L13" s="6"/>
      <c r="M13" s="20" t="s">
        <v>66</v>
      </c>
      <c r="N13" s="65">
        <v>1.1100000000000001</v>
      </c>
      <c r="O13" s="65">
        <v>1</v>
      </c>
      <c r="Q13" s="79" t="s">
        <v>89</v>
      </c>
      <c r="R13" s="175">
        <v>3.2</v>
      </c>
      <c r="S13" s="175">
        <v>487</v>
      </c>
      <c r="T13" s="175">
        <v>8.0299999999999996E-2</v>
      </c>
      <c r="U13" s="175">
        <v>0.68799999999999994</v>
      </c>
      <c r="V13" s="175">
        <v>23</v>
      </c>
      <c r="W13" s="115">
        <v>8</v>
      </c>
    </row>
    <row r="14" spans="1:23" ht="15" customHeight="1" x14ac:dyDescent="0.3">
      <c r="A14" s="14" t="s">
        <v>67</v>
      </c>
      <c r="B14" s="4" t="s">
        <v>52</v>
      </c>
      <c r="C14" s="54"/>
      <c r="D14" s="207" t="s">
        <v>64</v>
      </c>
      <c r="E14" s="208">
        <f>G14-F14</f>
        <v>75.684744993372107</v>
      </c>
      <c r="F14" s="209">
        <f>SUM(F4:F13)</f>
        <v>50.020006426459901</v>
      </c>
      <c r="G14" s="210">
        <f>SUM(G4:G13)</f>
        <v>125.70475141983201</v>
      </c>
      <c r="H14" s="125" t="s">
        <v>72</v>
      </c>
      <c r="L14" s="6"/>
      <c r="M14" s="20" t="s">
        <v>70</v>
      </c>
      <c r="N14" s="65">
        <v>1.1100000000000001</v>
      </c>
      <c r="O14" s="65">
        <v>1</v>
      </c>
      <c r="Q14" s="15" t="s">
        <v>91</v>
      </c>
      <c r="R14" s="175">
        <v>3.5</v>
      </c>
      <c r="S14" s="175">
        <v>281</v>
      </c>
      <c r="T14" s="175">
        <v>8.5999999999999993E-2</v>
      </c>
      <c r="U14" s="175">
        <v>0.91</v>
      </c>
      <c r="V14" s="175">
        <v>14</v>
      </c>
      <c r="W14" s="115">
        <v>6</v>
      </c>
    </row>
    <row r="15" spans="1:23" ht="15" customHeight="1" x14ac:dyDescent="0.3">
      <c r="A15" s="13"/>
      <c r="D15" s="211" t="s">
        <v>68</v>
      </c>
      <c r="E15" s="212">
        <f>Out_gpd</f>
        <v>67.78773052609327</v>
      </c>
      <c r="F15" s="213">
        <v>0</v>
      </c>
      <c r="G15" s="214">
        <f>Out_gpd</f>
        <v>67.78773052609327</v>
      </c>
      <c r="H15" s="177" t="s">
        <v>75</v>
      </c>
      <c r="I15" s="4" t="s">
        <v>52</v>
      </c>
      <c r="J15" s="170"/>
      <c r="Q15" s="15" t="s">
        <v>92</v>
      </c>
      <c r="R15" s="175">
        <v>3.31</v>
      </c>
      <c r="S15" s="175">
        <v>151</v>
      </c>
      <c r="T15" s="175">
        <v>0.1065</v>
      </c>
      <c r="U15" s="175">
        <v>1.218</v>
      </c>
      <c r="V15" s="175">
        <v>12</v>
      </c>
      <c r="W15" s="115">
        <v>4</v>
      </c>
    </row>
    <row r="16" spans="1:23" ht="15" customHeight="1" thickBot="1" x14ac:dyDescent="0.35">
      <c r="A16" s="125" t="s">
        <v>73</v>
      </c>
      <c r="B16" s="151">
        <v>5000</v>
      </c>
      <c r="D16" s="215" t="s">
        <v>71</v>
      </c>
      <c r="E16" s="216">
        <f>SUM(E14:E15)</f>
        <v>143.47247551946538</v>
      </c>
      <c r="F16" s="217">
        <f>SUM(F14:F15)</f>
        <v>50.020006426459901</v>
      </c>
      <c r="G16" s="218">
        <f>SUM(G14:G15)</f>
        <v>193.49248194592528</v>
      </c>
      <c r="H16" s="177" t="s">
        <v>237</v>
      </c>
      <c r="I16" s="206">
        <f>B40</f>
        <v>5</v>
      </c>
      <c r="J16" s="149" t="s">
        <v>130</v>
      </c>
      <c r="K16" s="74"/>
      <c r="L16" s="171"/>
      <c r="M16" s="17" t="s">
        <v>76</v>
      </c>
      <c r="N16" s="17"/>
      <c r="O16" s="60"/>
      <c r="P16" s="62"/>
      <c r="Q16" s="15"/>
    </row>
    <row r="17" spans="1:25" ht="15" customHeight="1" x14ac:dyDescent="0.3">
      <c r="A17" s="148" t="s">
        <v>230</v>
      </c>
      <c r="B17" s="151">
        <f>Ref_Irr_Area</f>
        <v>2348.0230868097533</v>
      </c>
      <c r="D17" s="130" t="s">
        <v>74</v>
      </c>
      <c r="E17" s="127">
        <f>G17-F17</f>
        <v>75.685157395974159</v>
      </c>
      <c r="F17" s="128">
        <f>(refDWgpd+refCWgpd+Fmix*(refFgpd+refWgpd)+HotOther_br*Nbr)</f>
        <v>53.165131743977831</v>
      </c>
      <c r="G17" s="129">
        <f>(refDWgpd+refSofgpd+(2.874*W12*(177.12+50.22*Nbr)/365)+refFgpd+refWgpd+refGPF*refFPO*Occ+TotOther_br*Nbr)</f>
        <v>128.850289139952</v>
      </c>
      <c r="H17" s="125" t="s">
        <v>84</v>
      </c>
      <c r="J17" s="10"/>
      <c r="L17" s="117"/>
      <c r="M17" s="18" t="s">
        <v>85</v>
      </c>
      <c r="N17" s="19" t="s">
        <v>21</v>
      </c>
      <c r="O17" s="60"/>
      <c r="P17" s="62"/>
      <c r="Q17" s="48" t="s">
        <v>96</v>
      </c>
      <c r="R17" s="80" t="s">
        <v>97</v>
      </c>
      <c r="S17" s="80" t="s">
        <v>98</v>
      </c>
    </row>
    <row r="18" spans="1:25" ht="15" customHeight="1" x14ac:dyDescent="0.3">
      <c r="A18" s="146" t="s">
        <v>86</v>
      </c>
      <c r="B18" s="147">
        <f>G15/G16</f>
        <v>0.35033780043731977</v>
      </c>
      <c r="C18" s="124"/>
      <c r="D18" s="132" t="s">
        <v>83</v>
      </c>
      <c r="E18" s="137">
        <f>IF(OutRef_gpd&gt;$F$37, OutRef_gpd,$F$37)</f>
        <v>67.78773052609327</v>
      </c>
      <c r="F18" s="133">
        <v>0</v>
      </c>
      <c r="G18" s="138">
        <f>IF(OutRef_gpd&gt;$F$37, OutRef_gpd,$F$37)</f>
        <v>67.78773052609327</v>
      </c>
      <c r="H18" s="177" t="s">
        <v>225</v>
      </c>
      <c r="I18" s="4" t="s">
        <v>52</v>
      </c>
      <c r="L18" s="117"/>
      <c r="M18" s="20" t="s">
        <v>88</v>
      </c>
      <c r="N18" s="21">
        <v>1</v>
      </c>
      <c r="O18" s="27"/>
      <c r="P18" s="62"/>
      <c r="Q18" s="15" t="s">
        <v>15</v>
      </c>
      <c r="R18" s="3">
        <v>12</v>
      </c>
      <c r="S18" s="3">
        <v>0.46</v>
      </c>
    </row>
    <row r="19" spans="1:25" ht="15" customHeight="1" thickBot="1" x14ac:dyDescent="0.35">
      <c r="A19" s="71" t="s">
        <v>107</v>
      </c>
      <c r="B19" s="150">
        <f>Ref_Irr_Area</f>
        <v>2348.0230868097533</v>
      </c>
      <c r="D19" s="139" t="s">
        <v>87</v>
      </c>
      <c r="E19" s="172">
        <f>SUM(E17:E18)</f>
        <v>143.47288792206743</v>
      </c>
      <c r="F19" s="173">
        <f>SUM(F17:F18)</f>
        <v>53.165131743977831</v>
      </c>
      <c r="G19" s="140">
        <f>SUM(G17:G18)</f>
        <v>196.63801966604527</v>
      </c>
      <c r="H19" s="177" t="s">
        <v>224</v>
      </c>
      <c r="I19" s="4" t="s">
        <v>52</v>
      </c>
      <c r="J19" s="33"/>
      <c r="L19" s="117"/>
      <c r="M19" s="20" t="s">
        <v>56</v>
      </c>
      <c r="N19" s="93">
        <v>0.1</v>
      </c>
      <c r="O19" s="27"/>
      <c r="P19" s="41"/>
      <c r="Q19" s="15" t="s">
        <v>91</v>
      </c>
      <c r="R19" s="3">
        <v>12</v>
      </c>
      <c r="S19" s="3">
        <v>0.73</v>
      </c>
    </row>
    <row r="20" spans="1:25" ht="15" customHeight="1" thickBot="1" x14ac:dyDescent="0.35">
      <c r="A20" s="71" t="s">
        <v>265</v>
      </c>
      <c r="B20" s="161">
        <f>Ref_Irr_Area/Lot_Area</f>
        <v>0.46960461736195064</v>
      </c>
      <c r="D20" s="141" t="s">
        <v>90</v>
      </c>
      <c r="E20" s="142">
        <f>E19-E16</f>
        <v>4.1240260205199775E-4</v>
      </c>
      <c r="F20" s="143">
        <f>F19-F16</f>
        <v>3.1451253175179303</v>
      </c>
      <c r="G20" s="144">
        <f>G19-G16</f>
        <v>3.1455377201199894</v>
      </c>
      <c r="H20" s="177" t="s">
        <v>226</v>
      </c>
      <c r="I20" s="4" t="s">
        <v>52</v>
      </c>
      <c r="J20" s="33"/>
      <c r="L20" s="122"/>
      <c r="M20" s="20" t="s">
        <v>62</v>
      </c>
      <c r="N20" s="21">
        <f>N19</f>
        <v>0.1</v>
      </c>
      <c r="O20" s="28"/>
      <c r="P20" s="41"/>
      <c r="Q20" s="15" t="s">
        <v>92</v>
      </c>
      <c r="R20" s="3">
        <v>12</v>
      </c>
      <c r="S20" s="3">
        <v>1.1200000000000001</v>
      </c>
    </row>
    <row r="21" spans="1:25" ht="15" customHeight="1" x14ac:dyDescent="0.3">
      <c r="A21" s="71" t="s">
        <v>93</v>
      </c>
      <c r="B21" s="161">
        <f>Landscape_Area/(Lot_Area-(CFA/Nfl))</f>
        <v>0.61790081231835614</v>
      </c>
      <c r="D21" s="131" t="s">
        <v>252</v>
      </c>
      <c r="E21" s="152">
        <f>ColdW_gpd/E17*100</f>
        <v>99.999455107690537</v>
      </c>
      <c r="F21" s="153">
        <f>F14/F17*100</f>
        <v>94.084233003195394</v>
      </c>
      <c r="G21" s="154">
        <f>G14/G17*100</f>
        <v>97.558765493569481</v>
      </c>
      <c r="H21" s="177" t="s">
        <v>221</v>
      </c>
      <c r="I21" s="4" t="s">
        <v>52</v>
      </c>
      <c r="K21" s="121"/>
      <c r="L21" s="122"/>
      <c r="M21" s="20" t="s">
        <v>66</v>
      </c>
      <c r="N21" s="21">
        <f>N19</f>
        <v>0.1</v>
      </c>
      <c r="O21" s="28"/>
      <c r="P21" s="41"/>
    </row>
    <row r="22" spans="1:25" ht="15" customHeight="1" x14ac:dyDescent="0.3">
      <c r="A22" s="71" t="s">
        <v>95</v>
      </c>
      <c r="B22" s="166">
        <f>Lot_Area/43560</f>
        <v>0.1147842056932966</v>
      </c>
      <c r="D22" s="135" t="s">
        <v>253</v>
      </c>
      <c r="E22" s="155">
        <f>E15/E18*100</f>
        <v>100</v>
      </c>
      <c r="F22" s="156">
        <f>100</f>
        <v>100</v>
      </c>
      <c r="G22" s="157">
        <f>G15/G18*100</f>
        <v>100</v>
      </c>
      <c r="H22" s="10" t="s">
        <v>236</v>
      </c>
      <c r="I22" s="126">
        <v>25.15</v>
      </c>
      <c r="J22" s="199" t="s">
        <v>94</v>
      </c>
      <c r="M22" s="20" t="s">
        <v>70</v>
      </c>
      <c r="N22" s="21">
        <f>N19</f>
        <v>0.1</v>
      </c>
      <c r="O22" s="41"/>
      <c r="P22" s="41"/>
      <c r="Y22" s="167"/>
    </row>
    <row r="23" spans="1:25" ht="15" customHeight="1" thickBot="1" x14ac:dyDescent="0.35">
      <c r="D23" s="136" t="s">
        <v>254</v>
      </c>
      <c r="E23" s="158">
        <f>E16/E19*100</f>
        <v>99.99971255711931</v>
      </c>
      <c r="F23" s="159">
        <f>F16/F19*100</f>
        <v>94.084233003195394</v>
      </c>
      <c r="G23" s="160">
        <f>G16/G19*100</f>
        <v>98.400341029948265</v>
      </c>
      <c r="H23" s="177" t="s">
        <v>243</v>
      </c>
      <c r="I23" s="4" t="s">
        <v>52</v>
      </c>
      <c r="O23" s="41"/>
      <c r="Y23" s="12"/>
    </row>
    <row r="24" spans="1:25" ht="15" customHeight="1" thickBot="1" x14ac:dyDescent="0.4">
      <c r="D24" s="233" t="s">
        <v>263</v>
      </c>
      <c r="E24" s="236">
        <f>G23</f>
        <v>98.400341029948265</v>
      </c>
      <c r="F24" s="237" t="s">
        <v>267</v>
      </c>
      <c r="G24" s="234">
        <f>G20*365</f>
        <v>1148.1212678437962</v>
      </c>
      <c r="H24" s="177" t="s">
        <v>241</v>
      </c>
      <c r="I24" s="4">
        <v>90</v>
      </c>
      <c r="J24" s="33"/>
      <c r="O24" s="41"/>
    </row>
    <row r="25" spans="1:25" ht="15" customHeight="1" thickBot="1" x14ac:dyDescent="0.35">
      <c r="A25" s="71" t="s">
        <v>99</v>
      </c>
      <c r="B25" s="145">
        <f xml:space="preserve"> 2*(CFA/Nfl)^0.5+10*Nfl+5*Bsmt</f>
        <v>89.282032302755098</v>
      </c>
      <c r="D25" s="3" t="s">
        <v>264</v>
      </c>
      <c r="F25" s="235" t="s">
        <v>268</v>
      </c>
      <c r="G25" s="239">
        <f>IF(G24*I25&lt;I25,0,G24/748.05*I25)</f>
        <v>5.9857936562941054</v>
      </c>
      <c r="H25" s="177" t="s">
        <v>266</v>
      </c>
      <c r="I25" s="238">
        <v>3.9</v>
      </c>
      <c r="J25" s="33" t="s">
        <v>270</v>
      </c>
      <c r="O25" s="41"/>
    </row>
    <row r="26" spans="1:25" ht="15.75" customHeight="1" x14ac:dyDescent="0.3">
      <c r="A26" s="71" t="s">
        <v>100</v>
      </c>
      <c r="B26" s="145">
        <f>2*refPipeL-20</f>
        <v>158.5640646055102</v>
      </c>
      <c r="D26" s="3" t="s">
        <v>269</v>
      </c>
      <c r="H26" s="177"/>
      <c r="J26" s="162"/>
    </row>
    <row r="27" spans="1:25" ht="15.75" customHeight="1" x14ac:dyDescent="0.3">
      <c r="H27" s="180"/>
      <c r="I27" s="33"/>
      <c r="J27" s="162"/>
      <c r="M27" s="78" t="s">
        <v>101</v>
      </c>
      <c r="N27" s="2"/>
      <c r="Q27" s="219" t="s">
        <v>205</v>
      </c>
      <c r="R27" s="220" t="s">
        <v>206</v>
      </c>
      <c r="S27" s="220" t="s">
        <v>207</v>
      </c>
      <c r="T27" s="221" t="s">
        <v>208</v>
      </c>
      <c r="U27" s="222" t="s">
        <v>250</v>
      </c>
      <c r="V27" s="222" t="s">
        <v>209</v>
      </c>
    </row>
    <row r="28" spans="1:25" ht="15.75" customHeight="1" thickBot="1" x14ac:dyDescent="0.35">
      <c r="A28" s="5"/>
      <c r="C28" s="10"/>
      <c r="H28" s="180"/>
      <c r="I28" s="162"/>
      <c r="M28" s="20" t="s">
        <v>102</v>
      </c>
      <c r="N28" s="42" t="s">
        <v>103</v>
      </c>
      <c r="Q28" s="1" t="s">
        <v>248</v>
      </c>
      <c r="R28" s="202">
        <v>68.900000000000006</v>
      </c>
      <c r="S28" s="203">
        <v>78701</v>
      </c>
      <c r="T28" s="204">
        <v>37.706521000000002</v>
      </c>
      <c r="U28" s="12" t="s">
        <v>212</v>
      </c>
      <c r="V28" s="12">
        <v>121</v>
      </c>
    </row>
    <row r="29" spans="1:25" x14ac:dyDescent="0.3">
      <c r="A29" s="10" t="s">
        <v>104</v>
      </c>
      <c r="B29" s="33">
        <f>IF(Landscape_Area&lt;Ref_Irr_Area,F32/H38,F$32)</f>
        <v>67.78773052609327</v>
      </c>
      <c r="C29" s="5" t="s">
        <v>105</v>
      </c>
      <c r="E29" s="253" t="s">
        <v>120</v>
      </c>
      <c r="F29" s="254"/>
      <c r="G29" s="255" t="s">
        <v>121</v>
      </c>
      <c r="H29" s="256"/>
      <c r="I29" s="176"/>
      <c r="M29" s="45" t="s">
        <v>106</v>
      </c>
      <c r="N29" s="46">
        <v>1</v>
      </c>
      <c r="Q29" s="5" t="s">
        <v>256</v>
      </c>
      <c r="R29" s="15">
        <v>49.5</v>
      </c>
      <c r="S29" s="203">
        <v>80104</v>
      </c>
      <c r="T29" s="201">
        <v>38.558681999999997</v>
      </c>
      <c r="U29" s="15" t="s">
        <v>210</v>
      </c>
      <c r="V29" s="15">
        <v>181</v>
      </c>
    </row>
    <row r="30" spans="1:25" x14ac:dyDescent="0.3">
      <c r="A30" s="10" t="s">
        <v>107</v>
      </c>
      <c r="B30" s="104">
        <f>IF(Lot_Area&lt;7000,Lot_Area*(0.002479*Lot_Area^0.6157),Lot_Area*0.577)</f>
        <v>2348.0230868097533</v>
      </c>
      <c r="E30" s="189" t="s">
        <v>122</v>
      </c>
      <c r="F30" s="186">
        <f>EXP(1.4416+0.5069*(Ref_Irr_Area/10^3))</f>
        <v>13.898944509760442</v>
      </c>
      <c r="G30" s="186" t="s">
        <v>123</v>
      </c>
      <c r="H30" s="190">
        <f>EXP(1.4416+0.5069*(Landscape_Area/10^3))</f>
        <v>13.898944509760442</v>
      </c>
      <c r="I30" s="181"/>
      <c r="M30" s="45" t="s">
        <v>108</v>
      </c>
      <c r="N30" s="46">
        <v>0.77700000000000002</v>
      </c>
      <c r="Q30" s="1" t="s">
        <v>211</v>
      </c>
      <c r="R30" s="202">
        <v>65.7</v>
      </c>
      <c r="S30" s="203">
        <v>75201</v>
      </c>
      <c r="T30" s="204">
        <v>32.981880999999994</v>
      </c>
      <c r="U30" s="12" t="s">
        <v>212</v>
      </c>
      <c r="V30" s="12">
        <v>121</v>
      </c>
    </row>
    <row r="31" spans="1:25" x14ac:dyDescent="0.3">
      <c r="A31" s="227" t="s">
        <v>109</v>
      </c>
      <c r="B31" s="224">
        <f>VLOOKUP(B4,Q28:V41,4,FALSE)</f>
        <v>38.558681999999997</v>
      </c>
      <c r="C31" s="227" t="s">
        <v>110</v>
      </c>
      <c r="D31" s="225">
        <f>VLOOKUP(B4,Q28:V41,3,FALSE)</f>
        <v>80104</v>
      </c>
      <c r="E31" s="189" t="s">
        <v>124</v>
      </c>
      <c r="F31" s="186">
        <f>EXP(0.6911+0.00301*NetET*(Ref_Irr_Area/10^3))</f>
        <v>2.6211558729176412</v>
      </c>
      <c r="G31" s="186" t="s">
        <v>125</v>
      </c>
      <c r="H31" s="190">
        <f>EXP(0.6911+0.00301*NetET*(Landscape_Area/10^3))</f>
        <v>2.6211558729176412</v>
      </c>
      <c r="I31" s="176"/>
      <c r="M31" s="45" t="s">
        <v>111</v>
      </c>
      <c r="N31" s="46">
        <v>0.77700000000000002</v>
      </c>
      <c r="Q31" s="1" t="s">
        <v>213</v>
      </c>
      <c r="R31" s="205">
        <v>51.6</v>
      </c>
      <c r="S31" s="12">
        <v>80011</v>
      </c>
      <c r="T31" s="204">
        <v>42.215458000000005</v>
      </c>
      <c r="U31" s="12" t="s">
        <v>210</v>
      </c>
      <c r="V31" s="12">
        <v>181</v>
      </c>
    </row>
    <row r="32" spans="1:25" x14ac:dyDescent="0.3">
      <c r="A32" s="10" t="s">
        <v>112</v>
      </c>
      <c r="B32" s="3">
        <f>IF(I19="no",0,1)</f>
        <v>0</v>
      </c>
      <c r="E32" s="189" t="s">
        <v>104</v>
      </c>
      <c r="F32" s="186">
        <f>IF(NetET&lt;=12,((expAref/(1+expAref))*1.18086*(2.0341*NetET^(0.7154)*(Ref_Irr_Area/10^3)^(0.6227)+0.5756*pool_ind*NetET)*1+(expBref/(1+expBref))*1.22257*(1.4233+0.6311*NetET+0.9376*(Ref_Irr_Area/10^3))*(1-1))*10^3/365,
((expAref/(1+expAref))*1.18086*(2.0341*NetET^(0.7154)*(Ref_Irr_Area/10^3)^(0.6227)+0.5756*pool_ind*NetET)*sprink_ind+(expBref/(1+expBref))*1.22257*(1.4233+0.6311*NetET+0.9376*(Ref_Irr_Area/10^3))*(1-sprink_ind))*10^3/365)</f>
        <v>67.78773052609327</v>
      </c>
      <c r="G32" s="186" t="s">
        <v>119</v>
      </c>
      <c r="H32" s="190">
        <f>((expA/(1+expA))*1.18086*(2.0341*NetET^(0.7154)*(Landscape_Area/10^3)^(0.6227)+0.5756*pool_ind*NetET)*sprink_ind+(expB/(1+expB))*1.22257*(1.4233+0.6311*NetET+0.9376*(Landscape_Area/10^3))*(1-sprink_ind))*10^3/365</f>
        <v>67.78773052609327</v>
      </c>
      <c r="I32" s="176"/>
      <c r="Q32" s="1" t="s">
        <v>215</v>
      </c>
      <c r="R32" s="205">
        <v>68.599999999999994</v>
      </c>
      <c r="S32" s="12">
        <v>77005</v>
      </c>
      <c r="T32" s="204">
        <v>17.760324000000001</v>
      </c>
      <c r="U32" s="12" t="s">
        <v>214</v>
      </c>
      <c r="V32" s="12">
        <v>61</v>
      </c>
    </row>
    <row r="33" spans="1:22" x14ac:dyDescent="0.3">
      <c r="A33" s="10" t="s">
        <v>113</v>
      </c>
      <c r="B33" s="3">
        <f>IF(I18="no",0,1)</f>
        <v>0</v>
      </c>
      <c r="E33" s="191"/>
      <c r="F33" s="188">
        <f>((expAref/(1+expAref))*1.18086*(2.0341*NetET^(0.7154)*(Ref_Irr_Area/10^3)^(0.6227)+0.5756*1*NetET)*1+(expBref/(1+expBref))*1.22257*(1.4233+0.6311*NetET+0.9376*(Ref_Irr_Area/10^3))*(1-1))*10^3/365</f>
        <v>209.43125993078135</v>
      </c>
      <c r="G33" s="187"/>
      <c r="H33" s="192">
        <f>((expA/(1+expA))*1.18086*(2.0341*NetET^(0.7154)*(Landscape_Area/10^3)^(0.6227)+0.5756*1*NetET)*1+(expB/(1+expB))*1.22257*(1.4233+0.6311*NetET+0.9376*(Landscape_Area/10^3))*(1-1))*10^3/365</f>
        <v>209.43125993078135</v>
      </c>
      <c r="I33" s="169" t="s">
        <v>128</v>
      </c>
      <c r="M33" s="11" t="s">
        <v>114</v>
      </c>
      <c r="Q33" s="5" t="s">
        <v>258</v>
      </c>
      <c r="R33" s="231">
        <v>63</v>
      </c>
      <c r="S33" s="203">
        <v>92614</v>
      </c>
      <c r="T33" s="201">
        <v>44.107962999999998</v>
      </c>
      <c r="U33" s="15" t="s">
        <v>210</v>
      </c>
      <c r="V33" s="15">
        <v>181</v>
      </c>
    </row>
    <row r="34" spans="1:22" x14ac:dyDescent="0.3">
      <c r="A34" s="10" t="s">
        <v>115</v>
      </c>
      <c r="B34" s="6">
        <f>IF(I21="yes",IF(Landscape_Area&gt;0,((I22/Landscape_Area)*1000),5),Rici_Ref)</f>
        <v>5</v>
      </c>
      <c r="E34" s="193"/>
      <c r="F34" s="186">
        <f>((expAref/(1+expAref))*1.18086*(2.0341*NetET^(0.7154)*(Ref_Irr_Area/10^3)^(0.6227)+0.5756*0*NetET)*1+(expBref/(1+expBref))*1.22257*(1.4233+0.6311*NetET+0.9376*(Ref_Irr_Area/10^3))*(1-1))*10^3/365</f>
        <v>142.44668103226789</v>
      </c>
      <c r="G34" s="58"/>
      <c r="H34" s="190">
        <f>((expA/(1+expA))*1.18086*(2.0341*NetET^(0.7154)*(Landscape_Area/10^3)^(0.6227)+0.5756*0*NetET)*1+(expB/(1+expB))*1.22257*(1.4233+0.6311*NetET+0.9376*(Landscape_Area/10^3))*(1-1))*10^3/365</f>
        <v>142.44668103226789</v>
      </c>
      <c r="I34" s="184" t="s">
        <v>129</v>
      </c>
      <c r="M34" s="16" t="s">
        <v>116</v>
      </c>
      <c r="N34" s="19" t="s">
        <v>117</v>
      </c>
      <c r="O34" s="10"/>
      <c r="P34" s="10"/>
      <c r="Q34" s="1" t="s">
        <v>7</v>
      </c>
      <c r="R34" s="205">
        <v>67.703842465753425</v>
      </c>
      <c r="S34" s="12">
        <v>89106</v>
      </c>
      <c r="T34" s="204">
        <v>94.82387599999997</v>
      </c>
      <c r="U34" s="12" t="s">
        <v>210</v>
      </c>
      <c r="V34" s="12">
        <v>181</v>
      </c>
    </row>
    <row r="35" spans="1:22" x14ac:dyDescent="0.3">
      <c r="A35" s="10" t="s">
        <v>118</v>
      </c>
      <c r="B35" s="6">
        <v>5</v>
      </c>
      <c r="E35" s="193"/>
      <c r="F35" s="186">
        <f>F33-F34</f>
        <v>66.984578898513462</v>
      </c>
      <c r="G35" s="58"/>
      <c r="H35" s="190">
        <f>H33-H34</f>
        <v>66.984578898513462</v>
      </c>
      <c r="I35" s="185" t="s">
        <v>131</v>
      </c>
      <c r="M35" s="23" t="s">
        <v>56</v>
      </c>
      <c r="N35" s="42">
        <v>8.76</v>
      </c>
      <c r="Q35" s="1" t="s">
        <v>245</v>
      </c>
      <c r="R35" s="205">
        <v>71.400000000000006</v>
      </c>
      <c r="S35" s="12">
        <v>34746</v>
      </c>
      <c r="T35" s="204">
        <v>17.694878000000003</v>
      </c>
      <c r="U35" s="12" t="s">
        <v>218</v>
      </c>
      <c r="V35" s="12">
        <v>0</v>
      </c>
    </row>
    <row r="36" spans="1:22" x14ac:dyDescent="0.3">
      <c r="A36" s="10" t="s">
        <v>119</v>
      </c>
      <c r="B36" s="33">
        <f>SUM(H43:H44)</f>
        <v>67.78773052609327</v>
      </c>
      <c r="E36" s="193"/>
      <c r="F36" s="186">
        <f>F32+F35</f>
        <v>134.77230942460673</v>
      </c>
      <c r="G36" s="58"/>
      <c r="H36" s="190">
        <f>H32+H35</f>
        <v>134.77230942460673</v>
      </c>
      <c r="I36" s="184" t="s">
        <v>134</v>
      </c>
      <c r="M36" s="23" t="s">
        <v>62</v>
      </c>
      <c r="N36" s="42">
        <v>1.46</v>
      </c>
      <c r="Q36" s="1" t="s">
        <v>216</v>
      </c>
      <c r="R36" s="205">
        <v>74.8</v>
      </c>
      <c r="S36" s="12">
        <v>85008</v>
      </c>
      <c r="T36" s="204">
        <v>89.696154999999976</v>
      </c>
      <c r="U36" s="12" t="s">
        <v>212</v>
      </c>
      <c r="V36" s="12">
        <v>121</v>
      </c>
    </row>
    <row r="37" spans="1:22" x14ac:dyDescent="0.3">
      <c r="A37" s="10"/>
      <c r="B37" s="33"/>
      <c r="E37" s="193"/>
      <c r="F37" s="186">
        <f>((expAref/(1+expAref))*1.18086*(2.0341*NetET^(0.7154)*(Ref_Irr_Area/10^3)^(0.6227)+0.5756*0*NetET)*0+(expBref/(1+expBref))*1.22257*(1.4233+0.6311*NetET+0.9376*(Ref_Irr_Area/10^3))*(1-0))*10^3/365</f>
        <v>67.78773052609327</v>
      </c>
      <c r="G37" s="58"/>
      <c r="H37" s="190">
        <f>((expA/(1+expA))*1.18086*(2.0341*NetET^(0.7154)*(Landscape_Area/10^3)^(0.6227)+0.5756*0*NetET)*0+(expB/(1+expB))*1.22257*(1.4233+0.6311*NetET+0.9376*(Landscape_Area/10^3))*(1-0))*10^3/365</f>
        <v>67.78773052609327</v>
      </c>
      <c r="I37" s="184" t="s">
        <v>135</v>
      </c>
      <c r="M37" s="23" t="s">
        <v>66</v>
      </c>
      <c r="N37" s="42">
        <v>0.15</v>
      </c>
      <c r="P37" s="6"/>
      <c r="Q37" s="5" t="s">
        <v>259</v>
      </c>
      <c r="R37" s="231">
        <v>62.3</v>
      </c>
      <c r="S37" s="203">
        <v>92506</v>
      </c>
      <c r="T37" s="201">
        <v>52.033097000000005</v>
      </c>
      <c r="U37" s="15" t="s">
        <v>210</v>
      </c>
      <c r="V37" s="15">
        <v>181</v>
      </c>
    </row>
    <row r="38" spans="1:22" x14ac:dyDescent="0.3">
      <c r="A38" s="227" t="s">
        <v>223</v>
      </c>
      <c r="B38" s="226">
        <f>VLOOKUP(B4,Q28:V41,6)</f>
        <v>181</v>
      </c>
      <c r="E38" s="193"/>
      <c r="F38" s="186"/>
      <c r="G38" s="58"/>
      <c r="H38" s="194">
        <f>(H37/F37)</f>
        <v>1</v>
      </c>
      <c r="I38" s="184" t="s">
        <v>136</v>
      </c>
      <c r="M38" s="23" t="s">
        <v>70</v>
      </c>
      <c r="N38" s="94">
        <v>0.1</v>
      </c>
      <c r="P38" s="6"/>
      <c r="Q38" s="5" t="s">
        <v>257</v>
      </c>
      <c r="R38" s="231">
        <v>60</v>
      </c>
      <c r="S38" s="203">
        <v>95678</v>
      </c>
      <c r="T38" s="204">
        <v>48.707558000000006</v>
      </c>
      <c r="U38" s="12" t="s">
        <v>218</v>
      </c>
      <c r="V38" s="15">
        <v>0</v>
      </c>
    </row>
    <row r="39" spans="1:22" x14ac:dyDescent="0.3">
      <c r="A39" s="10" t="s">
        <v>126</v>
      </c>
      <c r="B39" s="6">
        <f>(((B38*0.0584178)*((refDWgpd+(2.874*W12*(177.12+50.22*Nbr)/365)+refFgpd+refWgpd+refGPF*refFPO*Occ+TotOther_br*Nbr)))*365)*10^-3</f>
        <v>497.28119255807241</v>
      </c>
      <c r="E39" s="193"/>
      <c r="F39" s="228"/>
      <c r="G39" s="58"/>
      <c r="H39" s="195">
        <f>IF(H32&gt;H37,H32,H37)</f>
        <v>67.78773052609327</v>
      </c>
      <c r="I39" s="3" t="s">
        <v>234</v>
      </c>
      <c r="M39" s="8"/>
      <c r="N39" s="107"/>
      <c r="P39" s="6"/>
      <c r="Q39" s="1" t="s">
        <v>246</v>
      </c>
      <c r="R39" s="205">
        <v>60.6</v>
      </c>
      <c r="S39" s="12">
        <v>95758</v>
      </c>
      <c r="T39" s="204">
        <v>48.391581000000002</v>
      </c>
      <c r="U39" s="12" t="s">
        <v>218</v>
      </c>
      <c r="V39" s="12">
        <v>0</v>
      </c>
    </row>
    <row r="40" spans="1:22" s="168" customFormat="1" ht="14.55" customHeight="1" x14ac:dyDescent="0.3">
      <c r="A40" s="10" t="s">
        <v>127</v>
      </c>
      <c r="B40" s="6">
        <v>5</v>
      </c>
      <c r="E40" s="193"/>
      <c r="F40" s="58"/>
      <c r="G40" s="58"/>
      <c r="H40" s="195">
        <f>IF(AND(I19="yes",I20="yes"),H39*0.85,H39)</f>
        <v>67.78773052609327</v>
      </c>
      <c r="I40" s="3" t="s">
        <v>232</v>
      </c>
      <c r="M40" s="8"/>
      <c r="N40" s="107"/>
      <c r="P40" s="169"/>
      <c r="Q40" s="1" t="s">
        <v>247</v>
      </c>
      <c r="R40" s="205">
        <v>65.3</v>
      </c>
      <c r="S40" s="12">
        <v>84770</v>
      </c>
      <c r="T40" s="204">
        <v>67.229821000000001</v>
      </c>
      <c r="U40" s="12" t="s">
        <v>210</v>
      </c>
      <c r="V40" s="12">
        <v>181</v>
      </c>
    </row>
    <row r="41" spans="1:22" x14ac:dyDescent="0.3">
      <c r="A41" s="10" t="s">
        <v>222</v>
      </c>
      <c r="B41" s="33">
        <f>IF(I15="yes",IF(B38&gt;=181,(B39*B40)/365,0),0)</f>
        <v>0</v>
      </c>
      <c r="E41" s="193"/>
      <c r="F41" s="58"/>
      <c r="G41" s="58"/>
      <c r="H41" s="195">
        <f>IF(AND(I19="yes",I21="yes"),H40*(1+((RICI_Rat-Rici_Ref)*0.1)),H40)</f>
        <v>67.78773052609327</v>
      </c>
      <c r="I41" s="3" t="s">
        <v>233</v>
      </c>
      <c r="Q41" s="5" t="s">
        <v>255</v>
      </c>
      <c r="R41" s="229">
        <v>72.099999999999994</v>
      </c>
      <c r="S41" s="230">
        <v>33602</v>
      </c>
      <c r="T41" s="232">
        <v>20.693558999999997</v>
      </c>
      <c r="U41" s="229" t="s">
        <v>212</v>
      </c>
      <c r="V41" s="229">
        <v>121</v>
      </c>
    </row>
    <row r="42" spans="1:22" x14ac:dyDescent="0.3">
      <c r="A42" s="10" t="s">
        <v>133</v>
      </c>
      <c r="B42" s="6">
        <f>(B38*0.0584178)*((SUM(G4:G10,G12)*365))*10^-3</f>
        <v>485.14139249135553</v>
      </c>
      <c r="E42" s="193"/>
      <c r="F42" s="58"/>
      <c r="G42" s="58"/>
      <c r="H42" s="195">
        <f>IF(AND(I19="yes",I23="yes"),H41*0.95,H41)</f>
        <v>67.78773052609327</v>
      </c>
      <c r="I42" s="3" t="s">
        <v>242</v>
      </c>
      <c r="M42" s="36" t="s">
        <v>132</v>
      </c>
      <c r="P42" s="63"/>
    </row>
    <row r="43" spans="1:22" x14ac:dyDescent="0.3">
      <c r="A43" s="10" t="s">
        <v>54</v>
      </c>
      <c r="B43" s="33">
        <f>IF(I15="yes",B42*I16/365,0)</f>
        <v>0</v>
      </c>
      <c r="E43" s="193"/>
      <c r="F43" s="58"/>
      <c r="G43" s="58"/>
      <c r="H43" s="195">
        <f>H42</f>
        <v>67.78773052609327</v>
      </c>
      <c r="I43" s="3" t="s">
        <v>235</v>
      </c>
      <c r="M43" s="18" t="s">
        <v>85</v>
      </c>
      <c r="N43" s="29" t="s">
        <v>21</v>
      </c>
      <c r="O43" s="57" t="s">
        <v>41</v>
      </c>
      <c r="P43" s="41"/>
    </row>
    <row r="44" spans="1:22" ht="15" thickBot="1" x14ac:dyDescent="0.35">
      <c r="E44" s="196"/>
      <c r="F44" s="197"/>
      <c r="G44" s="197"/>
      <c r="H44" s="198">
        <f>IF(AND(I18="yes",I19="no"),H35,0)</f>
        <v>0</v>
      </c>
      <c r="I44" s="168" t="s">
        <v>231</v>
      </c>
      <c r="M44" s="30" t="s">
        <v>15</v>
      </c>
      <c r="N44" s="53">
        <v>32</v>
      </c>
      <c r="O44" s="59">
        <v>28.8</v>
      </c>
      <c r="P44" s="64"/>
    </row>
    <row r="45" spans="1:22" x14ac:dyDescent="0.3">
      <c r="M45" s="31" t="s">
        <v>56</v>
      </c>
      <c r="N45" s="59">
        <f>O45*2</f>
        <v>500</v>
      </c>
      <c r="O45" s="95">
        <v>250</v>
      </c>
      <c r="P45" s="64"/>
      <c r="Q45" s="1" t="s">
        <v>217</v>
      </c>
      <c r="R45" s="205">
        <v>56.8</v>
      </c>
      <c r="S45" s="12">
        <v>94109</v>
      </c>
      <c r="T45" s="204">
        <v>29.920603999999997</v>
      </c>
      <c r="U45" s="12" t="s">
        <v>218</v>
      </c>
      <c r="V45" s="12">
        <v>0</v>
      </c>
    </row>
    <row r="46" spans="1:22" x14ac:dyDescent="0.3">
      <c r="M46" s="31" t="s">
        <v>62</v>
      </c>
      <c r="N46" s="59">
        <f t="shared" ref="N46" si="0">O46*2</f>
        <v>375</v>
      </c>
      <c r="O46" s="95">
        <v>187.5</v>
      </c>
      <c r="P46" s="64"/>
      <c r="Q46" s="1" t="s">
        <v>219</v>
      </c>
      <c r="R46" s="205">
        <v>73</v>
      </c>
      <c r="S46" s="12">
        <v>85253</v>
      </c>
      <c r="T46" s="204">
        <v>88.313923000000003</v>
      </c>
      <c r="U46" s="12" t="s">
        <v>212</v>
      </c>
      <c r="V46" s="12">
        <v>121</v>
      </c>
    </row>
    <row r="47" spans="1:22" x14ac:dyDescent="0.3">
      <c r="E47" s="41"/>
      <c r="F47" s="41"/>
      <c r="G47" s="41"/>
      <c r="M47" s="31" t="s">
        <v>66</v>
      </c>
      <c r="N47" s="59">
        <f>O47*1.5</f>
        <v>64.800000000000011</v>
      </c>
      <c r="O47" s="95">
        <v>43.2</v>
      </c>
      <c r="P47" s="64"/>
      <c r="Q47" s="1" t="s">
        <v>220</v>
      </c>
      <c r="R47" s="205">
        <v>49.9</v>
      </c>
      <c r="S47" s="12">
        <v>98405</v>
      </c>
      <c r="T47" s="204">
        <v>16.101707999999999</v>
      </c>
      <c r="U47" s="12" t="s">
        <v>218</v>
      </c>
      <c r="V47" s="12">
        <v>0</v>
      </c>
    </row>
    <row r="48" spans="1:22" x14ac:dyDescent="0.3">
      <c r="D48" s="41"/>
      <c r="E48" s="41"/>
      <c r="F48" s="41"/>
      <c r="G48" s="41"/>
      <c r="M48" s="31" t="s">
        <v>70</v>
      </c>
      <c r="N48" s="59">
        <f>O48*1.5</f>
        <v>43.2</v>
      </c>
      <c r="O48" s="95">
        <v>28.8</v>
      </c>
      <c r="P48" s="92"/>
    </row>
    <row r="49" spans="1:17" x14ac:dyDescent="0.3">
      <c r="A49" s="47" t="s">
        <v>139</v>
      </c>
      <c r="E49" s="41"/>
      <c r="F49" s="41"/>
      <c r="G49" s="41"/>
      <c r="Q49" s="1"/>
    </row>
    <row r="50" spans="1:17" x14ac:dyDescent="0.3">
      <c r="A50" s="5" t="s">
        <v>144</v>
      </c>
    </row>
    <row r="51" spans="1:17" x14ac:dyDescent="0.3">
      <c r="A51" s="97" t="s">
        <v>239</v>
      </c>
      <c r="B51" s="116">
        <f>2.1/3</f>
        <v>0.70000000000000007</v>
      </c>
      <c r="C51" s="10"/>
      <c r="J51" s="10" t="s">
        <v>249</v>
      </c>
      <c r="K51" s="3">
        <v>6.4</v>
      </c>
    </row>
    <row r="52" spans="1:17" x14ac:dyDescent="0.3">
      <c r="A52" s="97" t="s">
        <v>240</v>
      </c>
      <c r="B52" s="116">
        <f>17.8/3</f>
        <v>5.9333333333333336</v>
      </c>
      <c r="D52" s="101" t="s">
        <v>140</v>
      </c>
      <c r="E52" s="10"/>
      <c r="F52" s="3" t="s">
        <v>141</v>
      </c>
      <c r="H52" s="182" t="s">
        <v>137</v>
      </c>
      <c r="J52" s="105" t="s">
        <v>138</v>
      </c>
      <c r="K52" s="34"/>
    </row>
    <row r="53" spans="1:17" x14ac:dyDescent="0.3">
      <c r="A53" s="5" t="s">
        <v>156</v>
      </c>
      <c r="B53" s="10"/>
      <c r="D53" s="10" t="s">
        <v>145</v>
      </c>
      <c r="E53" s="76">
        <v>1.6</v>
      </c>
      <c r="F53" s="10" t="s">
        <v>146</v>
      </c>
      <c r="G53" s="119">
        <f>adjFmix*refFgpd*VintFact</f>
        <v>31.691172214182345</v>
      </c>
      <c r="H53" s="177" t="s">
        <v>147</v>
      </c>
      <c r="I53" s="3">
        <f>1.09+0.54*Nbr</f>
        <v>2.71</v>
      </c>
      <c r="J53" s="10" t="s">
        <v>143</v>
      </c>
      <c r="K53" s="102">
        <v>1</v>
      </c>
    </row>
    <row r="54" spans="1:17" x14ac:dyDescent="0.3">
      <c r="A54" s="10" t="s">
        <v>160</v>
      </c>
      <c r="B54" s="87">
        <f>VLOOKUP($I$10,$Q$12:$V$15,2,0)</f>
        <v>2.8740000000000001</v>
      </c>
      <c r="D54" s="10" t="s">
        <v>149</v>
      </c>
      <c r="E54" s="76">
        <v>5.05</v>
      </c>
      <c r="F54" s="10" t="s">
        <v>150</v>
      </c>
      <c r="G54" s="119">
        <f>adjFmix/Fmix*refFgpd*VintFact</f>
        <v>44.6</v>
      </c>
      <c r="H54" s="183" t="s">
        <v>142</v>
      </c>
      <c r="I54" s="103">
        <f>VLOOKUP($B$5,$M$18:$N$22,2,0)</f>
        <v>1</v>
      </c>
      <c r="J54" s="10" t="s">
        <v>148</v>
      </c>
      <c r="K54" s="106">
        <v>0.25</v>
      </c>
    </row>
    <row r="55" spans="1:17" ht="15.6" x14ac:dyDescent="0.35">
      <c r="A55" s="10" t="s">
        <v>165</v>
      </c>
      <c r="B55" s="87">
        <f>VLOOKUP($I$10,$Q$12:$V$15,3,0)</f>
        <v>704</v>
      </c>
      <c r="D55" s="5" t="s">
        <v>153</v>
      </c>
      <c r="E55" s="5"/>
      <c r="F55" s="10" t="s">
        <v>154</v>
      </c>
      <c r="G55" s="119">
        <v>2.5</v>
      </c>
      <c r="H55" s="177" t="s">
        <v>155</v>
      </c>
      <c r="I55" s="69">
        <f>IF($B$7&gt;=2,$K$6,$K$6*1.082)</f>
        <v>0.54</v>
      </c>
      <c r="J55" s="10" t="s">
        <v>152</v>
      </c>
      <c r="K55" s="106">
        <v>0</v>
      </c>
    </row>
    <row r="56" spans="1:17" x14ac:dyDescent="0.3">
      <c r="A56" s="10" t="s">
        <v>169</v>
      </c>
      <c r="B56" s="87">
        <f>VLOOKUP($I$10,$Q$12:$V$15,4,0)</f>
        <v>8.0299999999999996E-2</v>
      </c>
      <c r="D56" s="227" t="s">
        <v>157</v>
      </c>
      <c r="E56" s="223">
        <f>VLOOKUP(B4,Q28:V41,2,FALSE)</f>
        <v>49.5</v>
      </c>
      <c r="F56" s="10" t="s">
        <v>158</v>
      </c>
      <c r="G56" s="120">
        <v>0.54</v>
      </c>
      <c r="H56" s="182" t="s">
        <v>151</v>
      </c>
    </row>
    <row r="57" spans="1:17" x14ac:dyDescent="0.3">
      <c r="A57" s="10" t="s">
        <v>173</v>
      </c>
      <c r="B57" s="87">
        <f>VLOOKUP($I$10,$Q$12:$V$15,5,0)</f>
        <v>0.57999999999999996</v>
      </c>
      <c r="C57" s="37"/>
      <c r="D57" s="10" t="s">
        <v>161</v>
      </c>
      <c r="E57" s="82">
        <v>125</v>
      </c>
      <c r="F57" s="10" t="s">
        <v>162</v>
      </c>
      <c r="G57" s="120">
        <f>1-shower_pc</f>
        <v>0.45999999999999996</v>
      </c>
      <c r="H57" s="177" t="s">
        <v>159</v>
      </c>
      <c r="I57" s="3">
        <f>Tuse-8</f>
        <v>97</v>
      </c>
    </row>
    <row r="58" spans="1:17" x14ac:dyDescent="0.3">
      <c r="A58" s="10" t="s">
        <v>177</v>
      </c>
      <c r="B58" s="87">
        <f>VLOOKUP($I$10,$Q$12:$V$15,6,0)</f>
        <v>23</v>
      </c>
      <c r="C58" s="37"/>
      <c r="D58" s="10" t="s">
        <v>166</v>
      </c>
      <c r="E58" s="82">
        <v>105</v>
      </c>
      <c r="F58" s="10" t="s">
        <v>167</v>
      </c>
      <c r="G58" s="120">
        <f>faucet_pc*kitch</f>
        <v>0.31739999999999996</v>
      </c>
      <c r="H58" s="177" t="s">
        <v>163</v>
      </c>
      <c r="I58" s="35">
        <f>0.56 + 0.015*Nbr - 0.0004*Nbr^2</f>
        <v>0.60140000000000005</v>
      </c>
      <c r="J58" s="90" t="s">
        <v>164</v>
      </c>
    </row>
    <row r="59" spans="1:17" ht="15.6" x14ac:dyDescent="0.35">
      <c r="A59" s="10" t="s">
        <v>181</v>
      </c>
      <c r="B59" s="88">
        <f xml:space="preserve"> (3/2.874)*(164+Nbr*46.5)</f>
        <v>316.80584551148223</v>
      </c>
      <c r="D59" s="10" t="s">
        <v>170</v>
      </c>
      <c r="E59" s="165">
        <f>(B8)/(kitch_Ref_gpm)</f>
        <v>1</v>
      </c>
      <c r="F59" s="10" t="s">
        <v>171</v>
      </c>
      <c r="G59" s="120">
        <f>faucet_pc*lav</f>
        <v>0.1426</v>
      </c>
      <c r="H59" s="177" t="s">
        <v>168</v>
      </c>
      <c r="I59" s="25">
        <f>IF($K$5=$U$6,1,0.777)</f>
        <v>1</v>
      </c>
    </row>
    <row r="60" spans="1:17" ht="15.6" x14ac:dyDescent="0.35">
      <c r="A60" s="10" t="s">
        <v>185</v>
      </c>
      <c r="B60" s="88">
        <f xml:space="preserve"> NCY*(3*2.08+1.59)/(CAPw*2.08+1.59)</f>
        <v>327.77695461301198</v>
      </c>
      <c r="D60" s="10" t="s">
        <v>174</v>
      </c>
      <c r="E60" s="83">
        <f>IF($B$9="std",$N$5,$N$6)</f>
        <v>1</v>
      </c>
      <c r="F60" s="10" t="s">
        <v>175</v>
      </c>
      <c r="G60" s="163">
        <f>(B7)/(Sh_ref_gpm)</f>
        <v>1</v>
      </c>
      <c r="H60" s="177" t="s">
        <v>172</v>
      </c>
      <c r="I60" s="33">
        <f>IF($K$4=$V$5,1,0.5)</f>
        <v>1</v>
      </c>
      <c r="J60" s="5"/>
    </row>
    <row r="61" spans="1:17" ht="15.6" x14ac:dyDescent="0.35">
      <c r="A61" s="10" t="s">
        <v>189</v>
      </c>
      <c r="B61" s="87">
        <f>VLOOKUP($I$9,$Q$18:$S$20,2,0)</f>
        <v>12</v>
      </c>
      <c r="D61" s="10" t="s">
        <v>178</v>
      </c>
      <c r="E61" s="84">
        <f xml:space="preserve"> 1-((Tset-Tuse)/(Tset-(Tmains)))</f>
        <v>0.71056439942112881</v>
      </c>
      <c r="F61" s="10" t="s">
        <v>179</v>
      </c>
      <c r="G61" s="120">
        <v>0.69</v>
      </c>
      <c r="H61" s="177" t="s">
        <v>176</v>
      </c>
      <c r="I61" s="7">
        <f>1-PLCfact*pLength</f>
        <v>0.98214359353944902</v>
      </c>
      <c r="J61" s="5"/>
    </row>
    <row r="62" spans="1:17" ht="15.6" x14ac:dyDescent="0.35">
      <c r="A62" s="10" t="s">
        <v>194</v>
      </c>
      <c r="B62" s="87">
        <f>VLOOKUP($I$9,$Q$18:$S$20,3,0)</f>
        <v>1.1200000000000001</v>
      </c>
      <c r="D62" s="10" t="s">
        <v>182</v>
      </c>
      <c r="E62" s="85">
        <f xml:space="preserve"> 1-((Tset-Tuse)/(Tset-Tmains-WHinTadj))</f>
        <v>0.71056439942112881</v>
      </c>
      <c r="F62" s="10" t="s">
        <v>183</v>
      </c>
      <c r="G62" s="120">
        <f>1-kitch</f>
        <v>0.31000000000000005</v>
      </c>
      <c r="H62" s="177" t="s">
        <v>180</v>
      </c>
      <c r="I62" s="3">
        <v>2.0000000000000001E-4</v>
      </c>
      <c r="J62" s="5"/>
    </row>
    <row r="63" spans="1:17" x14ac:dyDescent="0.3">
      <c r="A63" s="10" t="s">
        <v>197</v>
      </c>
      <c r="B63" s="83">
        <f xml:space="preserve"> ((88.4+34.9*Nbr)*8.16)/365</f>
        <v>4.3169753424657529</v>
      </c>
      <c r="D63" s="75" t="s">
        <v>227</v>
      </c>
      <c r="E63" s="86">
        <f xml:space="preserve"> 9.8*Nbr^0.43</f>
        <v>15.717671770088979</v>
      </c>
      <c r="F63" s="10" t="s">
        <v>186</v>
      </c>
      <c r="G63" s="26">
        <v>2.2000000000000002</v>
      </c>
      <c r="H63" s="182" t="s">
        <v>184</v>
      </c>
      <c r="K63" s="74"/>
    </row>
    <row r="64" spans="1:17" x14ac:dyDescent="0.3">
      <c r="A64" s="10" t="s">
        <v>199</v>
      </c>
      <c r="B64" s="83">
        <f>((4.52*(164+46.5*Nbr))*((3*2.08+1.59)/(2.874*2.08+1.59)))/365</f>
        <v>3.888566185718028</v>
      </c>
      <c r="C64" s="6"/>
      <c r="D64" s="75" t="s">
        <v>190</v>
      </c>
      <c r="E64" s="86">
        <f>14.6 + 10*Nbr</f>
        <v>44.6</v>
      </c>
      <c r="F64" s="10" t="s">
        <v>191</v>
      </c>
      <c r="G64" s="164">
        <f>SHeff*shower_pc+KitchFeff*Kitch_pc+LavFeff*Lav_pc</f>
        <v>1</v>
      </c>
      <c r="H64" s="177" t="s">
        <v>187</v>
      </c>
      <c r="I64" s="6">
        <f>IF($B$5=$Q$5,PipeL/refPipeL,branchL/10)</f>
        <v>1</v>
      </c>
      <c r="K64" s="74"/>
    </row>
    <row r="65" spans="1:11" x14ac:dyDescent="0.3">
      <c r="A65" s="10" t="s">
        <v>201</v>
      </c>
      <c r="B65" s="89">
        <f xml:space="preserve"> ((88.4+34.9*Nbr)*12/dWcap*(4.6415*(1/DW_EF)-1.9295))/365</f>
        <v>1.1716654256360075</v>
      </c>
      <c r="D65" s="5" t="s">
        <v>195</v>
      </c>
      <c r="G65" s="200"/>
      <c r="H65" s="177" t="s">
        <v>192</v>
      </c>
      <c r="I65" s="6">
        <f>IF($B$6=$S$5,VLOOKUP($B$5,$M$10:$O$14,2,0),VLOOKUP($B$5,$M$10:$O$14,3,0))</f>
        <v>1</v>
      </c>
      <c r="J65" s="5" t="s">
        <v>188</v>
      </c>
      <c r="K65" s="74"/>
    </row>
    <row r="66" spans="1:11" x14ac:dyDescent="0.3">
      <c r="A66" s="10" t="s">
        <v>203</v>
      </c>
      <c r="B66" s="83">
        <f xml:space="preserve"> (60*((LER*(kWh_cost)-AGC)/(21.9825*(kWh_cost)-(therm_cost))/ 392)*ACY/365)</f>
        <v>3.8887507850298402</v>
      </c>
      <c r="D66" s="75" t="s">
        <v>228</v>
      </c>
      <c r="E66" s="76">
        <f>refWgpd*oFrac*(1-oCDeff)</f>
        <v>3.9294179425222446</v>
      </c>
      <c r="H66" s="177" t="s">
        <v>196</v>
      </c>
      <c r="I66" s="6">
        <f>IF($B$5=$Q$5,PipeL,branchL)</f>
        <v>89.282032302755098</v>
      </c>
      <c r="J66" s="5" t="s">
        <v>193</v>
      </c>
      <c r="K66" s="74"/>
    </row>
    <row r="67" spans="1:11" x14ac:dyDescent="0.3">
      <c r="D67" s="75" t="s">
        <v>229</v>
      </c>
      <c r="E67" s="76">
        <f>(refWgpd-refWgpd*oFrac)*pRatio*sysFactor</f>
        <v>11.788253827566734</v>
      </c>
      <c r="H67" s="182" t="s">
        <v>198</v>
      </c>
      <c r="J67" s="77"/>
      <c r="K67" s="74"/>
    </row>
    <row r="68" spans="1:11" x14ac:dyDescent="0.3">
      <c r="A68" s="10"/>
      <c r="D68" s="75" t="s">
        <v>202</v>
      </c>
      <c r="E68" s="74">
        <f>IF(B6="none",VLOOKUP(B5,M44:O48,2,0)*oFrac,VLOOKUP(B5,M44:O48,3,0)*oFrac)</f>
        <v>8</v>
      </c>
      <c r="H68" s="177" t="s">
        <v>200</v>
      </c>
      <c r="I68" s="25">
        <f>HWgpd/(30+10*Nbr)</f>
        <v>0.83366677377433163</v>
      </c>
      <c r="J68" s="77"/>
    </row>
    <row r="69" spans="1:11" x14ac:dyDescent="0.3">
      <c r="A69" s="10"/>
      <c r="B69" s="84"/>
      <c r="D69" s="75" t="s">
        <v>204</v>
      </c>
      <c r="E69" s="74">
        <f>IF(B6="none",VLOOKUP($B$5,$M$44:$O$48,2,0),VLOOKUP($B$5,$M$44:$O$48,3,0))-oEWfact</f>
        <v>24</v>
      </c>
      <c r="H69" s="177"/>
      <c r="J69" s="77"/>
    </row>
    <row r="70" spans="1:11" x14ac:dyDescent="0.3">
      <c r="A70" s="10"/>
      <c r="B70" s="6"/>
      <c r="D70" s="10"/>
      <c r="H70" s="177"/>
    </row>
    <row r="72" spans="1:11" x14ac:dyDescent="0.3">
      <c r="A72" s="96"/>
      <c r="B72" s="104"/>
    </row>
    <row r="73" spans="1:11" x14ac:dyDescent="0.3">
      <c r="A73" s="96"/>
      <c r="B73" s="104"/>
      <c r="K73" s="74"/>
    </row>
    <row r="74" spans="1:11" x14ac:dyDescent="0.3">
      <c r="A74" s="96"/>
      <c r="B74" s="104"/>
      <c r="J74" s="5"/>
    </row>
    <row r="75" spans="1:11" x14ac:dyDescent="0.3">
      <c r="B75" s="104"/>
      <c r="J75" s="5"/>
    </row>
    <row r="76" spans="1:11" x14ac:dyDescent="0.3">
      <c r="B76" s="104"/>
      <c r="J76" s="5"/>
    </row>
    <row r="77" spans="1:11" x14ac:dyDescent="0.3">
      <c r="B77" s="6"/>
      <c r="D77" s="10"/>
      <c r="E77" s="10"/>
      <c r="F77" s="6"/>
      <c r="J77" s="5"/>
    </row>
    <row r="78" spans="1:11" x14ac:dyDescent="0.3">
      <c r="B78" s="6"/>
      <c r="J78" s="5"/>
    </row>
    <row r="79" spans="1:11" x14ac:dyDescent="0.3">
      <c r="B79" s="10"/>
      <c r="J79" s="5"/>
    </row>
    <row r="80" spans="1:11" x14ac:dyDescent="0.3">
      <c r="D80" s="10"/>
      <c r="E80" s="10"/>
      <c r="F80" s="44"/>
      <c r="J80" s="5"/>
    </row>
    <row r="81" spans="1:10" x14ac:dyDescent="0.3">
      <c r="J81" s="5"/>
    </row>
    <row r="82" spans="1:10" x14ac:dyDescent="0.3">
      <c r="A82" s="43"/>
      <c r="J82" s="5"/>
    </row>
    <row r="83" spans="1:10" x14ac:dyDescent="0.3">
      <c r="B83" s="36"/>
      <c r="J83" s="5"/>
    </row>
    <row r="84" spans="1:10" x14ac:dyDescent="0.3">
      <c r="J84" s="5"/>
    </row>
    <row r="85" spans="1:10" x14ac:dyDescent="0.3">
      <c r="J85" s="5"/>
    </row>
    <row r="86" spans="1:10" x14ac:dyDescent="0.3">
      <c r="G86" s="43"/>
      <c r="J86" s="5"/>
    </row>
  </sheetData>
  <sheetProtection algorithmName="SHA-512" hashValue="lXkJMl07n5gAvkQSjMUMWr2C5rVCG4hpz4X1RJvWudRGAqdDWPSZ6IRZh1+kRMIHCmabt3WUYYLJeaTWk3rp9A==" saltValue="/QDCIHL2o4w7fFWjJeeNIg==" spinCount="100000" sheet="1" objects="1" scenarios="1"/>
  <sortState ref="Q28:V41">
    <sortCondition ref="Q28:Q41"/>
  </sortState>
  <mergeCells count="4">
    <mergeCell ref="A3:B3"/>
    <mergeCell ref="A1:K1"/>
    <mergeCell ref="E29:F29"/>
    <mergeCell ref="G29:H29"/>
  </mergeCells>
  <dataValidations count="16">
    <dataValidation type="whole" showErrorMessage="1" error="Value must be whole number between 1 and 5" prompt="Number of conditioned floor levels, including conditioned basements." sqref="I6">
      <formula1>1</formula1>
      <formula2>6</formula2>
    </dataValidation>
    <dataValidation type="whole" allowBlank="1" showErrorMessage="1" error="Value must be either 0 or 1" prompt="Include only unconditioned basements._x000a_" sqref="I7">
      <formula1>0</formula1>
      <formula2>1</formula2>
    </dataValidation>
    <dataValidation allowBlank="1" showInputMessage="1" showErrorMessage="1" error="Value must be whole number between 1 and 10" sqref="I5"/>
    <dataValidation type="decimal" allowBlank="1" showInputMessage="1" showErrorMessage="1" error="Input value must be between 0% and 50%" sqref="K55">
      <formula1>0</formula1>
      <formula2>0.5</formula2>
    </dataValidation>
    <dataValidation type="decimal" allowBlank="1" showInputMessage="1" showErrorMessage="1" error="Input value must be between 0% and 100%" sqref="K54">
      <formula1>0</formula1>
      <formula2>1</formula2>
    </dataValidation>
    <dataValidation type="decimal" operator="greaterThanOrEqual" allowBlank="1" showInputMessage="1" showErrorMessage="1" sqref="I16">
      <formula1>0.1</formula1>
    </dataValidation>
    <dataValidation type="list" allowBlank="1" showInputMessage="1" showErrorMessage="1" sqref="B9">
      <formula1>$R$5:$R$6</formula1>
    </dataValidation>
    <dataValidation type="list" allowBlank="1" showInputMessage="1" showErrorMessage="1" sqref="B6">
      <formula1>$S$5:$S$6</formula1>
    </dataValidation>
    <dataValidation type="list" allowBlank="1" showInputMessage="1" showErrorMessage="1" sqref="B5">
      <formula1>$Q$5:$Q$9</formula1>
    </dataValidation>
    <dataValidation type="list" allowBlank="1" showErrorMessage="1" prompt="YES = DWHR equally impacts fixture and water heater supply. _x000a_NO = DWHR impacts ONLY the fixture or ONLY the water heater supply." sqref="K5">
      <formula1>$U$5:$U$6</formula1>
    </dataValidation>
    <dataValidation type="list" allowBlank="1" showInputMessage="1" showErrorMessage="1" sqref="K4">
      <formula1>$V$5:$V$6</formula1>
    </dataValidation>
    <dataValidation type="list" allowBlank="1" showErrorMessage="1" sqref="B14">
      <formula1>$U$5:$U$6</formula1>
    </dataValidation>
    <dataValidation type="list" allowBlank="1" showInputMessage="1" showErrorMessage="1" sqref="I10">
      <formula1>$Q$12:$Q$15</formula1>
    </dataValidation>
    <dataValidation type="list" allowBlank="1" showInputMessage="1" showErrorMessage="1" sqref="I9">
      <formula1>$Q$18:$Q$20</formula1>
    </dataValidation>
    <dataValidation type="list" allowBlank="1" showInputMessage="1" showErrorMessage="1" sqref="I23 I18:I21 I15">
      <formula1>$W$5:$W$6</formula1>
    </dataValidation>
    <dataValidation type="list" allowBlank="1" showInputMessage="1" showErrorMessage="1" sqref="B4">
      <formula1>$Q$28:$Q$41</formula1>
    </dataValidation>
  </dataValidations>
  <pageMargins left="0.7" right="0.7" top="0.75" bottom="0.75" header="0.3" footer="0.3"/>
  <pageSetup orientation="portrait" r:id="rId1"/>
  <ignoredErrors>
    <ignoredError sqref="B17" unlockedFormula="1"/>
    <ignoredError sqref="B18"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109</vt:i4>
      </vt:variant>
    </vt:vector>
  </HeadingPairs>
  <TitlesOfParts>
    <vt:vector size="111" baseType="lpstr">
      <vt:lpstr>Instructions</vt:lpstr>
      <vt:lpstr>Water Use Calcs</vt:lpstr>
      <vt:lpstr>ACY</vt:lpstr>
      <vt:lpstr>adjFmix</vt:lpstr>
      <vt:lpstr>AGC</vt:lpstr>
      <vt:lpstr>branchL</vt:lpstr>
      <vt:lpstr>Bsmt</vt:lpstr>
      <vt:lpstr>CAPw</vt:lpstr>
      <vt:lpstr>CFA</vt:lpstr>
      <vt:lpstr>ColdW_gpd</vt:lpstr>
      <vt:lpstr>CW_gpd</vt:lpstr>
      <vt:lpstr>cwFmix</vt:lpstr>
      <vt:lpstr>CWgpd</vt:lpstr>
      <vt:lpstr>CWhot</vt:lpstr>
      <vt:lpstr>CWtemp</vt:lpstr>
      <vt:lpstr>CWtot_gpd</vt:lpstr>
      <vt:lpstr>CWwf</vt:lpstr>
      <vt:lpstr>DW_EF</vt:lpstr>
      <vt:lpstr>DW_gpd</vt:lpstr>
      <vt:lpstr>dWcap</vt:lpstr>
      <vt:lpstr>DWgpd</vt:lpstr>
      <vt:lpstr>DWHReff</vt:lpstr>
      <vt:lpstr>DWHRinT</vt:lpstr>
      <vt:lpstr>expA</vt:lpstr>
      <vt:lpstr>expAref</vt:lpstr>
      <vt:lpstr>expB</vt:lpstr>
      <vt:lpstr>expBref</vt:lpstr>
      <vt:lpstr>F_eff</vt:lpstr>
      <vt:lpstr>faucet_pc</vt:lpstr>
      <vt:lpstr>FixF</vt:lpstr>
      <vt:lpstr>FixtureHot</vt:lpstr>
      <vt:lpstr>FixtureTot</vt:lpstr>
      <vt:lpstr>Fmix</vt:lpstr>
      <vt:lpstr>gdp_ratio</vt:lpstr>
      <vt:lpstr>gpf</vt:lpstr>
      <vt:lpstr>HotOther_br</vt:lpstr>
      <vt:lpstr>HW_Leaks</vt:lpstr>
      <vt:lpstr>HWgpd</vt:lpstr>
      <vt:lpstr>Ifrac</vt:lpstr>
      <vt:lpstr>kitch</vt:lpstr>
      <vt:lpstr>Kitch_pc</vt:lpstr>
      <vt:lpstr>kitch_Ref_gpm</vt:lpstr>
      <vt:lpstr>KitchF_gpd</vt:lpstr>
      <vt:lpstr>KitchFeff</vt:lpstr>
      <vt:lpstr>kWh_cost</vt:lpstr>
      <vt:lpstr>Landscape_Area</vt:lpstr>
      <vt:lpstr>lav</vt:lpstr>
      <vt:lpstr>Lav_pc</vt:lpstr>
      <vt:lpstr>LavF_gpd</vt:lpstr>
      <vt:lpstr>LavFeff</vt:lpstr>
      <vt:lpstr>LER</vt:lpstr>
      <vt:lpstr>LocF</vt:lpstr>
      <vt:lpstr>loopL</vt:lpstr>
      <vt:lpstr>Lot_Area</vt:lpstr>
      <vt:lpstr>Lot_size</vt:lpstr>
      <vt:lpstr>Nbr</vt:lpstr>
      <vt:lpstr>NCY</vt:lpstr>
      <vt:lpstr>NetET</vt:lpstr>
      <vt:lpstr>Nfl</vt:lpstr>
      <vt:lpstr>Occ</vt:lpstr>
      <vt:lpstr>oCDeff</vt:lpstr>
      <vt:lpstr>oEWfact</vt:lpstr>
      <vt:lpstr>oFrac</vt:lpstr>
      <vt:lpstr>Out_gpd</vt:lpstr>
      <vt:lpstr>OutRef_gpd</vt:lpstr>
      <vt:lpstr>oWgpd</vt:lpstr>
      <vt:lpstr>PipeL</vt:lpstr>
      <vt:lpstr>PLC</vt:lpstr>
      <vt:lpstr>PLCfact</vt:lpstr>
      <vt:lpstr>pLength</vt:lpstr>
      <vt:lpstr>pool_ind</vt:lpstr>
      <vt:lpstr>pRatio</vt:lpstr>
      <vt:lpstr>pumpW</vt:lpstr>
      <vt:lpstr>Ref_Irr_Area</vt:lpstr>
      <vt:lpstr>refCWgpd</vt:lpstr>
      <vt:lpstr>refDWgpd</vt:lpstr>
      <vt:lpstr>refFgpd</vt:lpstr>
      <vt:lpstr>refFPO</vt:lpstr>
      <vt:lpstr>refGPF</vt:lpstr>
      <vt:lpstr>refLoopL</vt:lpstr>
      <vt:lpstr>refPipeL</vt:lpstr>
      <vt:lpstr>refSofgpd</vt:lpstr>
      <vt:lpstr>refWgpd</vt:lpstr>
      <vt:lpstr>RICI_Rat</vt:lpstr>
      <vt:lpstr>Rici_Ref</vt:lpstr>
      <vt:lpstr>sEWfact</vt:lpstr>
      <vt:lpstr>Sh_ref_gpm</vt:lpstr>
      <vt:lpstr>SHeff</vt:lpstr>
      <vt:lpstr>Shower_gpd</vt:lpstr>
      <vt:lpstr>shower_pc</vt:lpstr>
      <vt:lpstr>Soft_gpd</vt:lpstr>
      <vt:lpstr>Soft_ref</vt:lpstr>
      <vt:lpstr>sprink_ind</vt:lpstr>
      <vt:lpstr>Static_Pressure</vt:lpstr>
      <vt:lpstr>sWgpd</vt:lpstr>
      <vt:lpstr>sysFactor</vt:lpstr>
      <vt:lpstr>Tavg</vt:lpstr>
      <vt:lpstr>therm_cost</vt:lpstr>
      <vt:lpstr>Tmains</vt:lpstr>
      <vt:lpstr>Tmains_offset</vt:lpstr>
      <vt:lpstr>Toilets_gpd</vt:lpstr>
      <vt:lpstr>Tot_Other</vt:lpstr>
      <vt:lpstr>TotOther_br</vt:lpstr>
      <vt:lpstr>Tset</vt:lpstr>
      <vt:lpstr>Tuse</vt:lpstr>
      <vt:lpstr>VC</vt:lpstr>
      <vt:lpstr>VintFact</vt:lpstr>
      <vt:lpstr>Waste_gpd</vt:lpstr>
      <vt:lpstr>WDeff</vt:lpstr>
      <vt:lpstr>WHinT</vt:lpstr>
      <vt:lpstr>WHinTadj</vt:lpstr>
    </vt:vector>
  </TitlesOfParts>
  <Manager/>
  <Company>Architectural Energy Corporation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Philip Fairey</dc:creator>
  <cp:keywords/>
  <dc:description/>
  <cp:lastModifiedBy>Ryan Meres</cp:lastModifiedBy>
  <cp:revision/>
  <dcterms:created xsi:type="dcterms:W3CDTF">2014-02-20T17:36:44Z</dcterms:created>
  <dcterms:modified xsi:type="dcterms:W3CDTF">2018-06-19T16:10:50Z</dcterms:modified>
  <cp:category/>
  <cp:contentStatus/>
</cp:coreProperties>
</file>