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orilynhouwman/Desktop/"/>
    </mc:Choice>
  </mc:AlternateContent>
  <xr:revisionPtr revIDLastSave="0" documentId="8_{AB528DBE-68FA-7F44-85A1-29BE9FDB5DA1}" xr6:coauthVersionLast="43" xr6:coauthVersionMax="43" xr10:uidLastSave="{00000000-0000-0000-0000-000000000000}"/>
  <workbookProtection workbookAlgorithmName="SHA-512" workbookHashValue="y3f7jFlYfHtsF4fwJUlnWV2XyISMQ1dutOJzcFDcnHtgd4beZQiPYCjqtc4o+iCzsvhgXF6lVy5gCpnIZX3YpA==" workbookSaltValue="9sd5y/dlweYP836PHIG5YQ==" workbookSpinCount="100000" lockStructure="1"/>
  <bookViews>
    <workbookView xWindow="5660" yWindow="8680" windowWidth="14920" windowHeight="14460" tabRatio="619" xr2:uid="{00000000-000D-0000-FFFF-FFFF00000000}"/>
  </bookViews>
  <sheets>
    <sheet name="Instructions" sheetId="17" r:id="rId1"/>
    <sheet name="Input Sheet" sheetId="14" r:id="rId2"/>
    <sheet name="Credit Report" sheetId="15" r:id="rId3"/>
    <sheet name="DWHR_calcs" sheetId="13" state="hidden" r:id="rId4"/>
    <sheet name="HERS_calcs" sheetId="11" state="hidden" r:id="rId5"/>
  </sheets>
  <externalReferences>
    <externalReference r:id="rId6"/>
  </externalReferences>
  <definedNames>
    <definedName name="ACY" localSheetId="0">[1]DWHR_calcs!$J$10</definedName>
    <definedName name="ACY">DWHR_calcs!$K$10</definedName>
    <definedName name="adjFmix" localSheetId="0">[1]DWHR_calcs!$M$7</definedName>
    <definedName name="adjFmix">DWHR_calcs!$N$7</definedName>
    <definedName name="AGC" localSheetId="0">[1]DWHR_calcs!$S$11</definedName>
    <definedName name="AGC">DWHR_calcs!$T$11</definedName>
    <definedName name="AplHW" localSheetId="0">[1]DWHR_calcs!$J$16</definedName>
    <definedName name="AplHW">DWHR_calcs!$K$16</definedName>
    <definedName name="Bsmt" localSheetId="0">[1]DWHR_Input!$J$7</definedName>
    <definedName name="Bsmt">'Input Sheet'!$J$10</definedName>
    <definedName name="CAPw" localSheetId="0">[1]DWHR_calcs!$S$7</definedName>
    <definedName name="CAPw">DWHR_calcs!$T$7</definedName>
    <definedName name="CFA" localSheetId="0">[1]DWHR_Input!$J$4</definedName>
    <definedName name="CFA">'Input Sheet'!$J$7</definedName>
    <definedName name="dWashEF" localSheetId="0">[1]DWHR_calcs!$S$5</definedName>
    <definedName name="dWashEF">DWHR_calcs!$T$5</definedName>
    <definedName name="dWcap" localSheetId="0">[1]DWHR_calcs!$S$4</definedName>
    <definedName name="dWcap">DWHR_calcs!$T$4</definedName>
    <definedName name="DWHReff" localSheetId="0">[1]DWHR_calcs!$M$9</definedName>
    <definedName name="DWHReff">DWHR_calcs!$N$9</definedName>
    <definedName name="DWHRinT" localSheetId="0">[1]DWHR_calcs!$M$8</definedName>
    <definedName name="DWHRinT">DWHR_calcs!$N$8</definedName>
    <definedName name="EC_ratio" localSheetId="0">[1]DWHR_calcs!$J$7</definedName>
    <definedName name="EC_ratio">DWHR_calcs!$K$7</definedName>
    <definedName name="ECHW" localSheetId="0">[1]DWHR_calcs!$J$6</definedName>
    <definedName name="ECHW">DWHR_calcs!$K$6</definedName>
    <definedName name="elec_cost" localSheetId="0">[1]DWHR_calcs!$S$9</definedName>
    <definedName name="elec_cost">DWHR_calcs!$T$9</definedName>
    <definedName name="Feff" localSheetId="0">[1]DWHR_calcs!$J$8</definedName>
    <definedName name="Feff">DWHR_calcs!$K$8</definedName>
    <definedName name="FixF" localSheetId="0">[1]DWHR_calcs!$M$12</definedName>
    <definedName name="FixF">DWHR_calcs!$N$12</definedName>
    <definedName name="Fmix" localSheetId="0">[1]DWHR_calcs!$M$6</definedName>
    <definedName name="Fmix">DWHR_calcs!$N$6</definedName>
    <definedName name="gas_cost" localSheetId="0">[1]DWHR_calcs!$S$10</definedName>
    <definedName name="gas_cost">DWHR_calcs!$T$10</definedName>
    <definedName name="gpd_ratio" localSheetId="0">[1]DWHR_calcs!$M$17</definedName>
    <definedName name="gpd_ratio">DWHR_calcs!$N$17</definedName>
    <definedName name="HWgpd" localSheetId="0">[1]DWHR_calcs!$J$4</definedName>
    <definedName name="HWgpd">DWHR_calcs!$K$4</definedName>
    <definedName name="Ifrac" localSheetId="0">[1]DWHR_calcs!$M$10</definedName>
    <definedName name="Ifrac">DWHR_calcs!$N$10</definedName>
    <definedName name="Input_Errors" localSheetId="0">[1]DWHR_calcs!$B$17</definedName>
    <definedName name="Input_Errors">DWHR_calcs!$B$17</definedName>
    <definedName name="LER" localSheetId="0">[1]DWHR_calcs!$S$8</definedName>
    <definedName name="LER">DWHR_calcs!$T$8</definedName>
    <definedName name="LocF" localSheetId="0">[1]DWHR_calcs!$M$11</definedName>
    <definedName name="LocF">DWHR_calcs!$N$11</definedName>
    <definedName name="Nbr" localSheetId="0">[1]DWHR_Input!$J$5</definedName>
    <definedName name="Nbr">'Input Sheet'!$J$8</definedName>
    <definedName name="NCY" localSheetId="0">[1]DWHR_calcs!$J$9</definedName>
    <definedName name="NCY">DWHR_calcs!$K$9</definedName>
    <definedName name="Nfl" localSheetId="0">[1]DWHR_Input!$J$6</definedName>
    <definedName name="Nfl">'Input Sheet'!$J$9</definedName>
    <definedName name="pipeL" localSheetId="0">[1]DWHR_calcs!$M$13</definedName>
    <definedName name="pipeL">DWHR_calcs!$N$13</definedName>
    <definedName name="PLC" localSheetId="0">[1]DWHR_calcs!$M$14</definedName>
    <definedName name="PLC">DWHR_calcs!$N$14</definedName>
    <definedName name="_xlnm.Print_Area" localSheetId="2">'Credit Report'!$A$1:$Z$44</definedName>
    <definedName name="_xlnm.Print_Area" localSheetId="0">Instructions!$A$1:$R$50</definedName>
    <definedName name="RateEF" localSheetId="0">[1]DWHR_Input!$J$12</definedName>
    <definedName name="RateEF">'Input Sheet'!$J$15</definedName>
    <definedName name="refAplHW" localSheetId="0">[1]DWHR_calcs!$J$13</definedName>
    <definedName name="refAplHW">DWHR_calcs!$K$13</definedName>
    <definedName name="refECHW" localSheetId="0">[1]DWHR_calcs!$J$5</definedName>
    <definedName name="refECHW">DWHR_calcs!$K$5</definedName>
    <definedName name="refHWgpd" localSheetId="0">[1]DWHR_calcs!$J$3</definedName>
    <definedName name="refHWgpd">DWHR_calcs!$K$3</definedName>
    <definedName name="STDgpd" localSheetId="0">[1]DWHR_calcs!$J$17</definedName>
    <definedName name="STDgpd">DWHR_calcs!$K$17</definedName>
    <definedName name="Tavg" localSheetId="0">[1]DWHR_Input!$B$15</definedName>
    <definedName name="Tavg">'Input Sheet'!$B$15</definedName>
    <definedName name="Tmains" localSheetId="0">[1]DWHR_calcs!$M$5</definedName>
    <definedName name="Tmains">DWHR_calcs!$N$5</definedName>
    <definedName name="Tset" localSheetId="0">[1]DWHR_calcs!$M$3</definedName>
    <definedName name="Tset">DWHR_calcs!$N$3</definedName>
    <definedName name="Tuse" localSheetId="0">[1]DWHR_calcs!$M$4</definedName>
    <definedName name="Tuse">DWHR_calcs!$N$4</definedName>
    <definedName name="WHinT" localSheetId="0">[1]DWHR_calcs!$M$16</definedName>
    <definedName name="WHinT">DWHR_calcs!$N$16</definedName>
    <definedName name="WHinTadj" localSheetId="0">[1]DWHR_calcs!$M$15</definedName>
    <definedName name="WHinTadj">DWHR_calcs!$N$15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5" l="1"/>
  <c r="E4" i="13"/>
  <c r="F4" i="13"/>
  <c r="H4" i="13"/>
  <c r="E5" i="13"/>
  <c r="F5" i="13"/>
  <c r="H5" i="13"/>
  <c r="E6" i="13"/>
  <c r="F6" i="13"/>
  <c r="H6" i="13"/>
  <c r="E7" i="13"/>
  <c r="H7" i="13"/>
  <c r="H8" i="13"/>
  <c r="B18" i="13"/>
  <c r="B19" i="13"/>
  <c r="L3" i="14"/>
  <c r="L4" i="14"/>
  <c r="L5" i="14"/>
  <c r="L6" i="14"/>
  <c r="L7" i="14"/>
  <c r="L8" i="14"/>
  <c r="L13" i="14"/>
  <c r="L14" i="14"/>
  <c r="L15" i="14"/>
  <c r="L16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21" i="14"/>
  <c r="L22" i="14"/>
  <c r="L23" i="14"/>
  <c r="L24" i="14"/>
  <c r="L19" i="14"/>
  <c r="L20" i="14"/>
  <c r="L17" i="14"/>
  <c r="L18" i="14"/>
  <c r="L9" i="14"/>
  <c r="L10" i="14"/>
  <c r="L11" i="14"/>
  <c r="L12" i="14"/>
  <c r="L42" i="14"/>
  <c r="B17" i="13"/>
  <c r="F11" i="13"/>
  <c r="C5" i="11"/>
  <c r="O5" i="11"/>
  <c r="B16" i="11"/>
  <c r="G4" i="13"/>
  <c r="P5" i="11"/>
  <c r="K16" i="11"/>
  <c r="C16" i="11"/>
  <c r="K5" i="11"/>
  <c r="E11" i="13"/>
  <c r="G5" i="11"/>
  <c r="N16" i="11"/>
  <c r="H16" i="11"/>
  <c r="Q16" i="11"/>
  <c r="T16" i="11"/>
  <c r="F12" i="13"/>
  <c r="D5" i="11"/>
  <c r="G5" i="13"/>
  <c r="R5" i="11"/>
  <c r="L16" i="11"/>
  <c r="L5" i="11"/>
  <c r="E12" i="13"/>
  <c r="H5" i="11"/>
  <c r="O16" i="11"/>
  <c r="I16" i="11"/>
  <c r="R16" i="11"/>
  <c r="U16" i="11"/>
  <c r="F13" i="13"/>
  <c r="E5" i="11"/>
  <c r="S5" i="11"/>
  <c r="F16" i="11"/>
  <c r="G16" i="11"/>
  <c r="M5" i="11"/>
  <c r="E13" i="13"/>
  <c r="I5" i="11"/>
  <c r="P16" i="11"/>
  <c r="J16" i="11"/>
  <c r="T5" i="11"/>
  <c r="M16" i="11"/>
  <c r="S16" i="11"/>
  <c r="V16" i="11"/>
  <c r="N5" i="11"/>
  <c r="W16" i="11"/>
  <c r="F14" i="13"/>
  <c r="F5" i="11"/>
  <c r="X16" i="11"/>
  <c r="B5" i="11"/>
  <c r="E8" i="13"/>
  <c r="B13" i="13"/>
  <c r="G6" i="13"/>
  <c r="R17" i="15"/>
  <c r="R16" i="15"/>
  <c r="O41" i="15"/>
  <c r="H17" i="15"/>
  <c r="H16" i="15"/>
  <c r="Q13" i="15"/>
  <c r="Q12" i="15"/>
  <c r="F13" i="15"/>
  <c r="F12" i="15"/>
  <c r="V30" i="15"/>
  <c r="V29" i="15"/>
  <c r="V28" i="15"/>
  <c r="S30" i="15"/>
  <c r="S29" i="15"/>
  <c r="S28" i="15"/>
  <c r="K30" i="15"/>
  <c r="K29" i="15"/>
  <c r="K28" i="15"/>
  <c r="I30" i="15"/>
  <c r="I29" i="15"/>
  <c r="I28" i="15"/>
  <c r="G30" i="15"/>
  <c r="G29" i="15"/>
  <c r="G28" i="15"/>
  <c r="J22" i="15"/>
  <c r="I23" i="15"/>
  <c r="J21" i="15"/>
  <c r="K20" i="15"/>
  <c r="V23" i="15"/>
  <c r="V22" i="15"/>
  <c r="V21" i="15"/>
  <c r="V20" i="15"/>
  <c r="O9" i="15"/>
  <c r="D7" i="15"/>
  <c r="D8" i="15"/>
  <c r="D9" i="15"/>
  <c r="O7" i="15"/>
  <c r="N13" i="13"/>
  <c r="N14" i="13"/>
  <c r="E14" i="13"/>
  <c r="J5" i="11"/>
  <c r="G31" i="15"/>
  <c r="B6" i="13"/>
  <c r="B4" i="13"/>
  <c r="N11" i="13"/>
  <c r="B3" i="13"/>
  <c r="N12" i="13"/>
  <c r="B5" i="13"/>
  <c r="T7" i="11"/>
  <c r="M18" i="11"/>
  <c r="K12" i="13"/>
  <c r="C7" i="11"/>
  <c r="Q5" i="11"/>
  <c r="Q7" i="11"/>
  <c r="N10" i="13"/>
  <c r="K9" i="13"/>
  <c r="K10" i="13"/>
  <c r="K15" i="13"/>
  <c r="K17" i="13"/>
  <c r="K14" i="13"/>
  <c r="K11" i="13"/>
  <c r="N5" i="13"/>
  <c r="O18" i="11"/>
  <c r="O17" i="11"/>
  <c r="T6" i="11"/>
  <c r="M17" i="11"/>
  <c r="N9" i="13"/>
  <c r="N15" i="13"/>
  <c r="N7" i="13"/>
  <c r="S31" i="15"/>
  <c r="V31" i="15"/>
  <c r="C6" i="11"/>
  <c r="R6" i="11"/>
  <c r="L17" i="11"/>
  <c r="R7" i="11"/>
  <c r="L18" i="11"/>
  <c r="J7" i="11"/>
  <c r="J6" i="11"/>
  <c r="K8" i="13"/>
  <c r="E15" i="13"/>
  <c r="K13" i="13"/>
  <c r="N6" i="13"/>
  <c r="L6" i="11"/>
  <c r="L7" i="11"/>
  <c r="N6" i="11"/>
  <c r="N7" i="11"/>
  <c r="P7" i="11"/>
  <c r="P6" i="11"/>
  <c r="H7" i="11"/>
  <c r="H6" i="11"/>
  <c r="K16" i="13"/>
  <c r="S6" i="11"/>
  <c r="D7" i="11"/>
  <c r="O7" i="11"/>
  <c r="O6" i="11"/>
  <c r="S7" i="11"/>
  <c r="D6" i="11"/>
  <c r="F15" i="13"/>
  <c r="K4" i="13"/>
  <c r="N17" i="13"/>
  <c r="K3" i="13"/>
  <c r="K5" i="13"/>
  <c r="N16" i="13"/>
  <c r="K6" i="11"/>
  <c r="K7" i="11"/>
  <c r="C17" i="11"/>
  <c r="K17" i="11"/>
  <c r="B17" i="11"/>
  <c r="N17" i="11"/>
  <c r="F6" i="11"/>
  <c r="F7" i="11"/>
  <c r="K18" i="11"/>
  <c r="B18" i="11"/>
  <c r="C18" i="11"/>
  <c r="N18" i="11"/>
  <c r="G7" i="11"/>
  <c r="G6" i="11"/>
  <c r="I17" i="11"/>
  <c r="R17" i="11"/>
  <c r="U17" i="11"/>
  <c r="I18" i="11"/>
  <c r="R18" i="11"/>
  <c r="U18" i="11"/>
  <c r="F18" i="11"/>
  <c r="G18" i="11"/>
  <c r="P18" i="11"/>
  <c r="P17" i="11"/>
  <c r="G17" i="11"/>
  <c r="F17" i="11"/>
  <c r="I4" i="15"/>
  <c r="I25" i="14"/>
  <c r="K6" i="13"/>
  <c r="K7" i="13"/>
  <c r="I6" i="11"/>
  <c r="M6" i="11"/>
  <c r="M8" i="11"/>
  <c r="E6" i="11"/>
  <c r="H17" i="11"/>
  <c r="Q17" i="11"/>
  <c r="T17" i="11"/>
  <c r="H18" i="11"/>
  <c r="Q18" i="11"/>
  <c r="T18" i="11"/>
  <c r="J17" i="11"/>
  <c r="S17" i="11"/>
  <c r="V17" i="11"/>
  <c r="W17" i="11"/>
  <c r="X17" i="11"/>
  <c r="K39" i="15"/>
  <c r="E7" i="11"/>
  <c r="E8" i="11"/>
  <c r="M7" i="11"/>
  <c r="I7" i="11"/>
  <c r="I8" i="11"/>
  <c r="B6" i="11"/>
  <c r="B10" i="13"/>
  <c r="K35" i="15"/>
  <c r="M9" i="11"/>
  <c r="M10" i="11"/>
  <c r="B11" i="13"/>
  <c r="K36" i="15"/>
  <c r="X18" i="11"/>
  <c r="J18" i="11"/>
  <c r="S18" i="11"/>
  <c r="V18" i="11"/>
  <c r="W18" i="11"/>
  <c r="B7" i="11"/>
  <c r="B11" i="11"/>
  <c r="B14" i="13"/>
  <c r="I26" i="14"/>
  <c r="B15" i="13"/>
  <c r="I27" i="14"/>
  <c r="K40" i="15"/>
  <c r="K41" i="15"/>
</calcChain>
</file>

<file path=xl/sharedStrings.xml><?xml version="1.0" encoding="utf-8"?>
<sst xmlns="http://schemas.openxmlformats.org/spreadsheetml/2006/main" count="376" uniqueCount="261">
  <si>
    <t>Feff</t>
  </si>
  <si>
    <t>HWgpd</t>
  </si>
  <si>
    <t>all</t>
  </si>
  <si>
    <t>one</t>
  </si>
  <si>
    <t>no</t>
  </si>
  <si>
    <t>gas</t>
  </si>
  <si>
    <t>elec</t>
  </si>
  <si>
    <t>yes</t>
  </si>
  <si>
    <t>Coefficients</t>
  </si>
  <si>
    <t>LocF</t>
  </si>
  <si>
    <t>WHinTadj</t>
  </si>
  <si>
    <t>Equal flow?</t>
  </si>
  <si>
    <t>a</t>
  </si>
  <si>
    <t>b</t>
  </si>
  <si>
    <t>EEC_r</t>
  </si>
  <si>
    <t>EEC_x</t>
  </si>
  <si>
    <t>nEC_x</t>
  </si>
  <si>
    <t>DSE_r</t>
  </si>
  <si>
    <t>nMEUL</t>
  </si>
  <si>
    <t>low-flow</t>
  </si>
  <si>
    <r>
      <t>CSA 55.1 DWHR</t>
    </r>
    <r>
      <rPr>
        <vertAlign val="subscript"/>
        <sz val="11"/>
        <rFont val="Calibri"/>
        <family val="2"/>
        <scheme val="minor"/>
      </rPr>
      <t>eff</t>
    </r>
  </si>
  <si>
    <t>Std</t>
  </si>
  <si>
    <t>New</t>
  </si>
  <si>
    <t>TRL</t>
  </si>
  <si>
    <t>TnML</t>
  </si>
  <si>
    <t>HERS Index</t>
  </si>
  <si>
    <t>Reference Home End Use Loads 
(REUL)</t>
  </si>
  <si>
    <t>Reference Home End Use Energy Consumption (EC_r)</t>
  </si>
  <si>
    <t>Rated Home End Use Energy Consumption (EC_x)</t>
  </si>
  <si>
    <t>Manufacturer's Equipment Performance Rating (MEPR)</t>
  </si>
  <si>
    <t>Winter</t>
  </si>
  <si>
    <t>Summer</t>
  </si>
  <si>
    <t>Hot Water</t>
  </si>
  <si>
    <t>Heating</t>
  </si>
  <si>
    <t>Cooling</t>
  </si>
  <si>
    <t>L&amp;A</t>
  </si>
  <si>
    <t>(MBtu)</t>
  </si>
  <si>
    <t>Fuel</t>
  </si>
  <si>
    <t>MEPR</t>
  </si>
  <si>
    <t>Total Loads</t>
  </si>
  <si>
    <t xml:space="preserve">Cooling </t>
  </si>
  <si>
    <t>Totals</t>
  </si>
  <si>
    <t>Case</t>
  </si>
  <si>
    <t>DWHR</t>
  </si>
  <si>
    <t>refHWgpd</t>
  </si>
  <si>
    <t>refDWgpd</t>
  </si>
  <si>
    <t>refCWgpd</t>
  </si>
  <si>
    <t>Fmix</t>
  </si>
  <si>
    <t>adjFmix</t>
  </si>
  <si>
    <t>DWHReff</t>
  </si>
  <si>
    <t>HW</t>
  </si>
  <si>
    <t>HERS Calculations:</t>
  </si>
  <si>
    <t>FixFlow</t>
  </si>
  <si>
    <t>Baths connected</t>
  </si>
  <si>
    <t>DWHR Inputs:</t>
  </si>
  <si>
    <t>Loads</t>
  </si>
  <si>
    <t>Lgt &amp; Apl</t>
  </si>
  <si>
    <t>Connect</t>
  </si>
  <si>
    <t>Equal?</t>
  </si>
  <si>
    <t>standard</t>
  </si>
  <si>
    <t>fuel</t>
  </si>
  <si>
    <t>Calculations:</t>
  </si>
  <si>
    <t>Rated Home Hot Water Appliances:</t>
  </si>
  <si>
    <t>DWgpd</t>
  </si>
  <si>
    <t>CWgpd</t>
  </si>
  <si>
    <t>Tmains</t>
  </si>
  <si>
    <t>WHinT</t>
  </si>
  <si>
    <t>Ifrac</t>
  </si>
  <si>
    <t>FixF</t>
  </si>
  <si>
    <t>pipeL</t>
  </si>
  <si>
    <t>DWHRinT</t>
  </si>
  <si>
    <t>PLC</t>
  </si>
  <si>
    <t>Dishwasher:</t>
  </si>
  <si>
    <t>Clothes washer:</t>
  </si>
  <si>
    <t>Fixture efficiency</t>
  </si>
  <si>
    <t>Energy Use</t>
  </si>
  <si>
    <t>End Uses:</t>
  </si>
  <si>
    <t>Standard HERS Index</t>
  </si>
  <si>
    <t>Revised HERS Index</t>
  </si>
  <si>
    <t>HERS Index Results:</t>
  </si>
  <si>
    <t>n/a</t>
  </si>
  <si>
    <t>NCY</t>
  </si>
  <si>
    <t>ACY</t>
  </si>
  <si>
    <r>
      <t>refEC</t>
    </r>
    <r>
      <rPr>
        <vertAlign val="subscript"/>
        <sz val="11"/>
        <color theme="1"/>
        <rFont val="Calibri"/>
        <family val="2"/>
        <scheme val="minor"/>
      </rPr>
      <t>HW</t>
    </r>
  </si>
  <si>
    <r>
      <t>EC</t>
    </r>
    <r>
      <rPr>
        <vertAlign val="subscript"/>
        <sz val="11"/>
        <color theme="1"/>
        <rFont val="Calibri"/>
        <family val="2"/>
        <scheme val="minor"/>
      </rPr>
      <t>HW</t>
    </r>
  </si>
  <si>
    <t>EC ratio</t>
  </si>
  <si>
    <t>gpd ratio</t>
  </si>
  <si>
    <t>STDgpd</t>
  </si>
  <si>
    <t>Label Energy Rating ($/y)</t>
  </si>
  <si>
    <t>Annual Gas Cost ($/y)</t>
  </si>
  <si>
    <t>Gas costs ($/therm)</t>
  </si>
  <si>
    <t>Electricity cost ($/kWh)</t>
  </si>
  <si>
    <t>Washer Capacity (gal)</t>
  </si>
  <si>
    <t>Capacity (dish sets)</t>
  </si>
  <si>
    <t>% of HW Energy</t>
  </si>
  <si>
    <t>% of Total Energy</t>
  </si>
  <si>
    <t>DWHR Savings:</t>
  </si>
  <si>
    <t>Energy Factor EF)</t>
  </si>
  <si>
    <t>HW as % of Total</t>
  </si>
  <si>
    <t>Savings as % of HW</t>
  </si>
  <si>
    <t>Savings as % of Total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</si>
  <si>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 xml:space="preserve"> HERS =</t>
    </r>
  </si>
  <si>
    <t>Drain Water Heat Recovery (DWHR) HERS Index Calculator</t>
  </si>
  <si>
    <t>City Name</t>
  </si>
  <si>
    <t>State Name</t>
  </si>
  <si>
    <t>Number bedrooms (Nbr)</t>
  </si>
  <si>
    <t>Number of cond. floor levels (Nfl)</t>
  </si>
  <si>
    <t>Uncond. Basement (Y/N)</t>
  </si>
  <si>
    <t>Cond. Floor Area (CFA in ft2)</t>
  </si>
  <si>
    <t>No</t>
  </si>
  <si>
    <t>Yes</t>
  </si>
  <si>
    <t>Rated Home Report Results (MBtu):</t>
  </si>
  <si>
    <t>Reference Home Report Results (MBtu):</t>
  </si>
  <si>
    <t>bsmt</t>
  </si>
  <si>
    <t>Ann. Avg. Outdoor Temp. (F)</t>
  </si>
  <si>
    <t>TMY Identification</t>
  </si>
  <si>
    <t>DWHR HERS Credit Calculation Tool</t>
  </si>
  <si>
    <r>
      <t>DWHR Credit (</t>
    </r>
    <r>
      <rPr>
        <sz val="11"/>
        <color theme="1"/>
        <rFont val="Calibri"/>
        <family val="2"/>
      </rPr>
      <t xml:space="preserve">Δ HERS) </t>
    </r>
  </si>
  <si>
    <t>lists:</t>
  </si>
  <si>
    <t>No city name</t>
  </si>
  <si>
    <t>No state name</t>
  </si>
  <si>
    <t>No basement entry</t>
  </si>
  <si>
    <t>No CFA entry</t>
  </si>
  <si>
    <t>No Nbr entry</t>
  </si>
  <si>
    <t>No Nfl entry</t>
  </si>
  <si>
    <t>No TMY entry</t>
  </si>
  <si>
    <t>No Avg. Temp entry</t>
  </si>
  <si>
    <t>No Rated heating EC</t>
  </si>
  <si>
    <t>No Rated cooling EC</t>
  </si>
  <si>
    <t>No Rated Lgt &amp; Apl EC</t>
  </si>
  <si>
    <t>No heating MEPR</t>
  </si>
  <si>
    <t>No cooling MEPR</t>
  </si>
  <si>
    <t>No hot water MEPR</t>
  </si>
  <si>
    <t>No Ref heating EC</t>
  </si>
  <si>
    <t>No Ref cooling EC</t>
  </si>
  <si>
    <t>No Ref Lgt &amp; Apl EC</t>
  </si>
  <si>
    <t>No Ref hot water EC</t>
  </si>
  <si>
    <t>No Rated hot water EC</t>
  </si>
  <si>
    <t>No Ref heating Load</t>
  </si>
  <si>
    <t>No Ref cooling Load</t>
  </si>
  <si>
    <t>No Ref hot water Load</t>
  </si>
  <si>
    <r>
      <rPr>
        <sz val="11"/>
        <color theme="1"/>
        <rFont val="Calibri"/>
        <family val="2"/>
        <scheme val="minor"/>
      </rPr>
      <t>∑</t>
    </r>
    <r>
      <rPr>
        <sz val="12.1"/>
        <color theme="1"/>
        <rFont val="Calibri"/>
        <family val="2"/>
        <scheme val="minor"/>
      </rPr>
      <t xml:space="preserve"> errors</t>
    </r>
  </si>
  <si>
    <t>No cooling fuel type</t>
  </si>
  <si>
    <t>No heating fuel type</t>
  </si>
  <si>
    <t>No hot water fuel type</t>
  </si>
  <si>
    <t>No equal flow entry</t>
  </si>
  <si>
    <t>No baths connected entry</t>
  </si>
  <si>
    <t>No DWHR eff entry</t>
  </si>
  <si>
    <t>No fixture entry</t>
  </si>
  <si>
    <t>Input Errors</t>
  </si>
  <si>
    <t>Climate Information:</t>
  </si>
  <si>
    <t>Street Address</t>
  </si>
  <si>
    <t>No street address</t>
  </si>
  <si>
    <t xml:space="preserve">Errors </t>
  </si>
  <si>
    <t>flags</t>
  </si>
  <si>
    <t>Zip Code</t>
  </si>
  <si>
    <t>No Zip Code entry</t>
  </si>
  <si>
    <t>TMY Location:</t>
  </si>
  <si>
    <t>Home Address:</t>
  </si>
  <si>
    <t>Conditioned Floor Area</t>
  </si>
  <si>
    <t>Number of Bedrooms</t>
  </si>
  <si>
    <t>Conditioned Floor Levels</t>
  </si>
  <si>
    <t>Unconditioned Basement</t>
  </si>
  <si>
    <t>Rated Home Characteristics:</t>
  </si>
  <si>
    <t>Equal Flow?</t>
  </si>
  <si>
    <t>Fixture Efficiency</t>
  </si>
  <si>
    <t>Type</t>
  </si>
  <si>
    <t>Standard HERS Index score</t>
  </si>
  <si>
    <t>Revised HERS Index score</t>
  </si>
  <si>
    <t>DWHR HERS Credit Calculation Output Report</t>
  </si>
  <si>
    <t>HERS Credit Calculation Results:</t>
  </si>
  <si>
    <t>Energy</t>
  </si>
  <si>
    <t xml:space="preserve"> End Use</t>
  </si>
  <si>
    <t>Tuse</t>
  </si>
  <si>
    <t>Tset</t>
  </si>
  <si>
    <t>AplHW</t>
  </si>
  <si>
    <t>refAplHW</t>
  </si>
  <si>
    <r>
      <t>DWHR Credit (</t>
    </r>
    <r>
      <rPr>
        <b/>
        <sz val="11"/>
        <color theme="1"/>
        <rFont val="Calibri"/>
        <family val="2"/>
      </rPr>
      <t>Δ HERS)</t>
    </r>
  </si>
  <si>
    <t>Input data is REQUIRED for all yellow-highlighted fields</t>
  </si>
  <si>
    <t>Rater Information:</t>
  </si>
  <si>
    <t>Rater Name</t>
  </si>
  <si>
    <t>Rater RESNET ID</t>
  </si>
  <si>
    <t>QA Provider Name</t>
  </si>
  <si>
    <t>QA Provider RESNET ID</t>
  </si>
  <si>
    <t>No Rater Name</t>
  </si>
  <si>
    <t>No Rater ID</t>
  </si>
  <si>
    <t>No Provider Name</t>
  </si>
  <si>
    <t>No Provider ID</t>
  </si>
  <si>
    <t>Home Location:</t>
  </si>
  <si>
    <t>Home Characteristics:</t>
  </si>
  <si>
    <t>Certified Rater:</t>
  </si>
  <si>
    <t>ID:</t>
  </si>
  <si>
    <t>Name:</t>
  </si>
  <si>
    <t>DWHR manufacturer</t>
  </si>
  <si>
    <t>DWHR Model No.</t>
  </si>
  <si>
    <t>DWHR Specifications:</t>
  </si>
  <si>
    <t>No DWHR mfg</t>
  </si>
  <si>
    <t>No DWHR model</t>
  </si>
  <si>
    <t>Manufacturer:</t>
  </si>
  <si>
    <t>DWHR Installation:</t>
  </si>
  <si>
    <t xml:space="preserve"> Home</t>
  </si>
  <si>
    <t>Model No:</t>
  </si>
  <si>
    <t>RESNET QA Provider:</t>
  </si>
  <si>
    <t>Rated Home Standard Rating Results:</t>
  </si>
  <si>
    <t>Reference Home Standard Rating Results:</t>
  </si>
  <si>
    <t>Certification:</t>
  </si>
  <si>
    <t>1.</t>
  </si>
  <si>
    <t>2.</t>
  </si>
  <si>
    <t>DWHR HERS Index credit</t>
  </si>
  <si>
    <t>Hot water energy savings</t>
  </si>
  <si>
    <t>Whole home energy savings</t>
  </si>
  <si>
    <t>I hereby certifiy that the information</t>
  </si>
  <si>
    <t>to the best of my knowledge.</t>
  </si>
  <si>
    <t xml:space="preserve">submitted in this report is accurate </t>
  </si>
  <si>
    <t>Rated Home Standard Rating Results (in MBtu):</t>
  </si>
  <si>
    <t>Reference Home Standard Rating Results (in MBtu):</t>
  </si>
  <si>
    <t>DWHR Energy Savings:</t>
  </si>
  <si>
    <t>CSA 55.1 DWHR Efficiency</t>
  </si>
  <si>
    <t>DWHR Efficiency</t>
  </si>
  <si>
    <r>
      <t>select 'one' if there are multiple shower/</t>
    </r>
    <r>
      <rPr>
        <sz val="12"/>
        <color theme="1"/>
        <rFont val="Calibri"/>
        <family val="2"/>
        <scheme val="minor"/>
      </rPr>
      <t>bath facilities and only one</t>
    </r>
    <r>
      <rPr>
        <sz val="12"/>
        <color theme="1"/>
        <rFont val="Calibri"/>
        <family val="2"/>
        <scheme val="minor"/>
      </rPr>
      <t xml:space="preserve"> facility</t>
    </r>
    <r>
      <rPr>
        <sz val="12"/>
        <color theme="1"/>
        <rFont val="Calibri"/>
        <family val="2"/>
        <scheme val="minor"/>
      </rPr>
      <t xml:space="preserve"> is connected to a DWHR</t>
    </r>
    <r>
      <rPr>
        <sz val="12"/>
        <color theme="1"/>
        <rFont val="Calibri"/>
        <family val="2"/>
        <scheme val="minor"/>
      </rPr>
      <t xml:space="preserve"> unit</t>
    </r>
  </si>
  <si>
    <r>
      <t>select 'all' if there is only one shower/</t>
    </r>
    <r>
      <rPr>
        <sz val="12"/>
        <color theme="1"/>
        <rFont val="Calibri"/>
        <family val="2"/>
        <scheme val="minor"/>
      </rPr>
      <t xml:space="preserve">bath facility </t>
    </r>
    <r>
      <rPr>
        <sz val="12"/>
        <color theme="1"/>
        <rFont val="Calibri"/>
        <family val="2"/>
        <scheme val="minor"/>
      </rPr>
      <t>and it is connected to a DWHR unit</t>
    </r>
  </si>
  <si>
    <r>
      <t xml:space="preserve">select 'yes' if DWHR unit(s) pre-heats water to both </t>
    </r>
    <r>
      <rPr>
        <sz val="12"/>
        <color theme="1"/>
        <rFont val="Calibri"/>
        <family val="2"/>
        <scheme val="minor"/>
      </rPr>
      <t xml:space="preserve">the </t>
    </r>
    <r>
      <rPr>
        <sz val="12"/>
        <color theme="1"/>
        <rFont val="Calibri"/>
        <family val="2"/>
        <scheme val="minor"/>
      </rPr>
      <t>shower/bath</t>
    </r>
    <r>
      <rPr>
        <sz val="12"/>
        <color theme="1"/>
        <rFont val="Calibri"/>
        <family val="2"/>
        <scheme val="minor"/>
      </rPr>
      <t xml:space="preserve"> cold water piping and </t>
    </r>
    <r>
      <rPr>
        <sz val="12"/>
        <color theme="1"/>
        <rFont val="Calibri"/>
        <family val="2"/>
        <scheme val="minor"/>
      </rPr>
      <t xml:space="preserve">to </t>
    </r>
    <r>
      <rPr>
        <sz val="12"/>
        <color theme="1"/>
        <rFont val="Calibri"/>
        <family val="2"/>
        <scheme val="minor"/>
      </rPr>
      <t>the water heater potable supply piping</t>
    </r>
  </si>
  <si>
    <r>
      <t xml:space="preserve">enter </t>
    </r>
    <r>
      <rPr>
        <sz val="12"/>
        <color theme="1"/>
        <rFont val="Calibri"/>
        <family val="2"/>
        <scheme val="minor"/>
      </rPr>
      <t xml:space="preserve">the </t>
    </r>
    <r>
      <rPr>
        <sz val="12"/>
        <color theme="1"/>
        <rFont val="Calibri"/>
        <family val="2"/>
        <scheme val="minor"/>
      </rPr>
      <t xml:space="preserve">DWHR </t>
    </r>
    <r>
      <rPr>
        <sz val="12"/>
        <color theme="1"/>
        <rFont val="Calibri"/>
        <family val="2"/>
        <scheme val="minor"/>
      </rPr>
      <t>Efficiency</t>
    </r>
    <r>
      <rPr>
        <sz val="12"/>
        <color theme="1"/>
        <rFont val="Calibri"/>
        <family val="2"/>
        <scheme val="minor"/>
      </rPr>
      <t xml:space="preserve"> as </t>
    </r>
    <r>
      <rPr>
        <sz val="12"/>
        <color theme="1"/>
        <rFont val="Calibri"/>
        <family val="2"/>
        <scheme val="minor"/>
      </rPr>
      <t>labelled on the unit and provided by a certified testing agency (e.g. ETL, UL, CSA)</t>
    </r>
  </si>
  <si>
    <t>if more than one DWHR units is used, enter the average efficiency of DWHR units used</t>
  </si>
  <si>
    <t>Showers/Baths connected</t>
  </si>
  <si>
    <t>See Figure 1 below (note: other cold water fixtures may also be connected)</t>
  </si>
  <si>
    <r>
      <t xml:space="preserve">select 'no' if DWHR unit(s) pre-heats water only to </t>
    </r>
    <r>
      <rPr>
        <sz val="12"/>
        <color theme="1"/>
        <rFont val="Calibri"/>
        <family val="2"/>
        <scheme val="minor"/>
      </rPr>
      <t>the water heater potable supply piping</t>
    </r>
  </si>
  <si>
    <t>See Figure 2 below</t>
  </si>
  <si>
    <r>
      <t xml:space="preserve">select 'no' if DWHR pre-heats water only to </t>
    </r>
    <r>
      <rPr>
        <sz val="12"/>
        <color theme="1"/>
        <rFont val="Calibri"/>
        <family val="2"/>
        <scheme val="minor"/>
      </rPr>
      <t xml:space="preserve">the </t>
    </r>
    <r>
      <rPr>
        <sz val="12"/>
        <color theme="1"/>
        <rFont val="Calibri"/>
        <family val="2"/>
        <scheme val="minor"/>
      </rPr>
      <t>shower/bath</t>
    </r>
    <r>
      <rPr>
        <sz val="12"/>
        <color theme="1"/>
        <rFont val="Calibri"/>
        <family val="2"/>
        <scheme val="minor"/>
      </rPr>
      <t xml:space="preserve"> cold water piping</t>
    </r>
  </si>
  <si>
    <t>See Figure 3 below (note: other cold water fixtures may also be connected)</t>
  </si>
  <si>
    <t>CSA B55.1 DWHR Efficiency (or Effectiveness)</t>
  </si>
  <si>
    <t>Figure 1:  Equal Flow</t>
  </si>
  <si>
    <t>Figure 2:  Unequal Flow to Water Heater Only</t>
  </si>
  <si>
    <t xml:space="preserve">   Instructions for DWHR Installation inputs</t>
  </si>
  <si>
    <t xml:space="preserve">http://www.weatherbase.com/weather/state.php3?c=US </t>
  </si>
  <si>
    <t>Annual Average Outdoor Temperature</t>
  </si>
  <si>
    <r>
      <rPr>
        <b/>
        <sz val="12"/>
        <color rgb="FFC00000"/>
        <rFont val="Calibri"/>
        <family val="2"/>
        <scheme val="minor"/>
      </rPr>
      <t>NOTE</t>
    </r>
    <r>
      <rPr>
        <sz val="12"/>
        <color rgb="FFC00000"/>
        <rFont val="Calibri"/>
        <family val="2"/>
        <scheme val="minor"/>
      </rPr>
      <t>:  If If the annual average temperature for the home site is not available in the HERS software tool, it may be obtained at the following URL</t>
    </r>
  </si>
  <si>
    <t>HERS Software Tool:</t>
  </si>
  <si>
    <t>Name</t>
  </si>
  <si>
    <t>Version</t>
  </si>
  <si>
    <t>No Software Name</t>
  </si>
  <si>
    <t>No software version</t>
  </si>
  <si>
    <t>Version:</t>
  </si>
  <si>
    <t>Instructions for Completing DWHR Credit Calculations</t>
  </si>
  <si>
    <r>
      <t>Fill in the</t>
    </r>
    <r>
      <rPr>
        <b/>
        <i/>
        <sz val="12"/>
        <color theme="1"/>
        <rFont val="Calibri"/>
        <family val="2"/>
        <scheme val="minor"/>
      </rPr>
      <t xml:space="preserve"> Input Sheet</t>
    </r>
    <r>
      <rPr>
        <sz val="12"/>
        <color theme="1"/>
        <rFont val="Calibri"/>
        <family val="2"/>
        <scheme val="minor"/>
      </rPr>
      <t xml:space="preserve"> completely</t>
    </r>
  </si>
  <si>
    <r>
      <t>Print and sign the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Credit Report</t>
    </r>
  </si>
  <si>
    <t>select 'standard' unless ALL showers and faucets are ≤2.0 gpm</t>
  </si>
  <si>
    <t>select 'low-flow' if ALL showers and faucets are ≤2.0 gpm</t>
  </si>
  <si>
    <r>
      <t xml:space="preserve">OR select 'all' </t>
    </r>
    <r>
      <rPr>
        <sz val="12"/>
        <color theme="1"/>
        <rFont val="Calibri"/>
        <family val="2"/>
        <scheme val="minor"/>
      </rPr>
      <t xml:space="preserve">if there are multiple </t>
    </r>
    <r>
      <rPr>
        <sz val="12"/>
        <color theme="1"/>
        <rFont val="Calibri"/>
        <family val="2"/>
        <scheme val="minor"/>
      </rPr>
      <t>shower/</t>
    </r>
    <r>
      <rPr>
        <sz val="12"/>
        <color theme="1"/>
        <rFont val="Calibri"/>
        <family val="2"/>
        <scheme val="minor"/>
      </rPr>
      <t xml:space="preserve">bath facilities in the home and at least two </t>
    </r>
    <r>
      <rPr>
        <sz val="12"/>
        <color theme="1"/>
        <rFont val="Calibri"/>
        <family val="2"/>
        <scheme val="minor"/>
      </rPr>
      <t xml:space="preserve">facilities are connected to </t>
    </r>
    <r>
      <rPr>
        <sz val="12"/>
        <color theme="1"/>
        <rFont val="Calibri"/>
        <family val="2"/>
        <scheme val="minor"/>
      </rPr>
      <t xml:space="preserve">DWHR </t>
    </r>
    <r>
      <rPr>
        <sz val="12"/>
        <color theme="1"/>
        <rFont val="Calibri"/>
        <family val="2"/>
        <scheme val="minor"/>
      </rPr>
      <t>units</t>
    </r>
  </si>
  <si>
    <t>Figure 3:  Unequal Flow to Fixture(s) Only</t>
  </si>
  <si>
    <t>3.</t>
  </si>
  <si>
    <t>4.</t>
  </si>
  <si>
    <r>
      <t xml:space="preserve">Submit the signed </t>
    </r>
    <r>
      <rPr>
        <b/>
        <i/>
        <sz val="12"/>
        <color theme="1"/>
        <rFont val="Calibri"/>
        <family val="2"/>
        <scheme val="minor"/>
      </rPr>
      <t>Credit Report</t>
    </r>
    <r>
      <rPr>
        <sz val="12"/>
        <color theme="1"/>
        <rFont val="Calibri"/>
        <family val="2"/>
        <scheme val="minor"/>
      </rPr>
      <t xml:space="preserve"> and a </t>
    </r>
    <r>
      <rPr>
        <b/>
        <sz val="12"/>
        <color theme="1"/>
        <rFont val="Calibri"/>
        <family val="2"/>
        <scheme val="minor"/>
      </rPr>
      <t>copy of this spreadsheet</t>
    </r>
    <r>
      <rPr>
        <sz val="12"/>
        <color theme="1"/>
        <rFont val="Calibri"/>
        <family val="2"/>
        <scheme val="minor"/>
      </rPr>
      <t xml:space="preserve"> to your Quality Assurance Provider.</t>
    </r>
  </si>
  <si>
    <t>Save the completed DWHR spreadsheet using a unique file name</t>
  </si>
  <si>
    <t>[pull down menu]</t>
  </si>
  <si>
    <t>[including conditioned basements]</t>
  </si>
  <si>
    <t>OPP</t>
  </si>
  <si>
    <t>PEfrac</t>
  </si>
  <si>
    <t>TEU</t>
  </si>
  <si>
    <t>[net on-site power production]</t>
  </si>
  <si>
    <t>net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</si>
</sst>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164" formatCode="0.0"/>
    <numFmt numFmtId="165" formatCode="0.0000"/>
    <numFmt numFmtId="166" formatCode="0.0%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.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0" fillId="0" borderId="0">
      <alignment vertical="top"/>
    </xf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right" indent="1"/>
    </xf>
    <xf numFmtId="2" fontId="0" fillId="0" borderId="0" xfId="0" applyNumberFormat="1" applyAlignment="1">
      <alignment horizontal="left" indent="1"/>
    </xf>
    <xf numFmtId="0" fontId="10" fillId="0" borderId="0" xfId="1" applyAlignment="1"/>
    <xf numFmtId="0" fontId="11" fillId="0" borderId="0" xfId="1" applyFont="1" applyFill="1" applyBorder="1" applyAlignment="1" applyProtection="1">
      <alignment horizontal="center"/>
      <protection locked="0"/>
    </xf>
    <xf numFmtId="0" fontId="10" fillId="0" borderId="23" xfId="1" applyBorder="1" applyAlignment="1">
      <alignment horizontal="center"/>
    </xf>
    <xf numFmtId="0" fontId="10" fillId="0" borderId="24" xfId="1" applyBorder="1" applyAlignment="1">
      <alignment horizontal="center"/>
    </xf>
    <xf numFmtId="0" fontId="10" fillId="0" borderId="18" xfId="1" applyBorder="1" applyAlignment="1">
      <alignment horizontal="center"/>
    </xf>
    <xf numFmtId="0" fontId="10" fillId="0" borderId="25" xfId="1" applyBorder="1" applyAlignment="1">
      <alignment horizontal="center"/>
    </xf>
    <xf numFmtId="0" fontId="10" fillId="0" borderId="26" xfId="1" applyBorder="1" applyAlignment="1">
      <alignment horizontal="center"/>
    </xf>
    <xf numFmtId="0" fontId="10" fillId="0" borderId="27" xfId="1" applyBorder="1" applyAlignment="1">
      <alignment horizontal="center"/>
    </xf>
    <xf numFmtId="0" fontId="10" fillId="0" borderId="28" xfId="1" applyBorder="1" applyAlignment="1">
      <alignment horizontal="center"/>
    </xf>
    <xf numFmtId="0" fontId="10" fillId="0" borderId="13" xfId="1" applyBorder="1" applyAlignment="1">
      <alignment horizontal="center"/>
    </xf>
    <xf numFmtId="0" fontId="10" fillId="0" borderId="29" xfId="1" applyBorder="1" applyAlignment="1">
      <alignment horizontal="center" vertical="center"/>
    </xf>
    <xf numFmtId="0" fontId="10" fillId="0" borderId="30" xfId="1" applyBorder="1" applyAlignment="1">
      <alignment horizontal="center" vertical="center"/>
    </xf>
    <xf numFmtId="0" fontId="10" fillId="0" borderId="31" xfId="1" applyBorder="1" applyAlignment="1">
      <alignment horizontal="center" vertical="center"/>
    </xf>
    <xf numFmtId="0" fontId="10" fillId="0" borderId="37" xfId="1" applyBorder="1" applyAlignment="1">
      <alignment horizontal="center"/>
    </xf>
    <xf numFmtId="2" fontId="10" fillId="0" borderId="38" xfId="1" applyNumberFormat="1" applyBorder="1" applyAlignment="1">
      <alignment horizontal="center"/>
    </xf>
    <xf numFmtId="0" fontId="10" fillId="0" borderId="38" xfId="1" applyBorder="1" applyAlignment="1">
      <alignment horizontal="center"/>
    </xf>
    <xf numFmtId="0" fontId="10" fillId="0" borderId="10" xfId="1" applyBorder="1" applyAlignment="1">
      <alignment horizontal="center"/>
    </xf>
    <xf numFmtId="2" fontId="10" fillId="0" borderId="27" xfId="1" applyNumberFormat="1" applyBorder="1" applyAlignment="1">
      <alignment horizontal="center"/>
    </xf>
    <xf numFmtId="164" fontId="10" fillId="0" borderId="0" xfId="1" applyNumberFormat="1" applyAlignment="1"/>
    <xf numFmtId="0" fontId="10" fillId="0" borderId="49" xfId="1" applyBorder="1" applyAlignment="1">
      <alignment horizontal="centerContinuous"/>
    </xf>
    <xf numFmtId="0" fontId="10" fillId="0" borderId="50" xfId="1" applyBorder="1" applyAlignment="1">
      <alignment horizontal="centerContinuous"/>
    </xf>
    <xf numFmtId="0" fontId="10" fillId="0" borderId="51" xfId="1" applyBorder="1" applyAlignment="1">
      <alignment horizontal="centerContinuous"/>
    </xf>
    <xf numFmtId="0" fontId="10" fillId="0" borderId="4" xfId="1" applyBorder="1" applyAlignment="1">
      <alignment horizontal="centerContinuous"/>
    </xf>
    <xf numFmtId="0" fontId="10" fillId="0" borderId="5" xfId="1" applyBorder="1" applyAlignment="1">
      <alignment horizontal="centerContinuous"/>
    </xf>
    <xf numFmtId="0" fontId="10" fillId="0" borderId="6" xfId="1" applyBorder="1" applyAlignment="1">
      <alignment horizontal="centerContinuous"/>
    </xf>
    <xf numFmtId="0" fontId="10" fillId="0" borderId="28" xfId="1" applyFill="1" applyBorder="1" applyAlignment="1">
      <alignment horizontal="centerContinuous"/>
    </xf>
    <xf numFmtId="0" fontId="10" fillId="0" borderId="2" xfId="1" applyFill="1" applyBorder="1" applyAlignment="1">
      <alignment horizontal="centerContinuous"/>
    </xf>
    <xf numFmtId="0" fontId="10" fillId="0" borderId="56" xfId="1" applyFill="1" applyBorder="1" applyAlignment="1">
      <alignment horizontal="center"/>
    </xf>
    <xf numFmtId="165" fontId="10" fillId="0" borderId="11" xfId="1" applyNumberFormat="1" applyBorder="1" applyAlignment="1"/>
    <xf numFmtId="165" fontId="10" fillId="0" borderId="0" xfId="1" applyNumberFormat="1" applyBorder="1" applyAlignment="1"/>
    <xf numFmtId="165" fontId="10" fillId="0" borderId="16" xfId="1" applyNumberFormat="1" applyBorder="1" applyAlignment="1"/>
    <xf numFmtId="165" fontId="10" fillId="0" borderId="58" xfId="1" applyNumberFormat="1" applyBorder="1" applyAlignment="1"/>
    <xf numFmtId="165" fontId="10" fillId="0" borderId="8" xfId="1" applyNumberFormat="1" applyBorder="1" applyAlignment="1"/>
    <xf numFmtId="165" fontId="10" fillId="0" borderId="12" xfId="1" applyNumberFormat="1" applyBorder="1" applyAlignment="1"/>
    <xf numFmtId="165" fontId="10" fillId="0" borderId="60" xfId="1" applyNumberFormat="1" applyBorder="1" applyAlignment="1"/>
    <xf numFmtId="165" fontId="10" fillId="0" borderId="61" xfId="1" applyNumberFormat="1" applyBorder="1" applyAlignment="1"/>
    <xf numFmtId="165" fontId="10" fillId="0" borderId="62" xfId="1" applyNumberFormat="1" applyBorder="1" applyAlignment="1"/>
    <xf numFmtId="165" fontId="10" fillId="0" borderId="63" xfId="1" applyNumberFormat="1" applyBorder="1" applyAlignment="1"/>
    <xf numFmtId="165" fontId="10" fillId="0" borderId="64" xfId="1" applyNumberFormat="1" applyBorder="1" applyAlignment="1"/>
    <xf numFmtId="0" fontId="12" fillId="0" borderId="8" xfId="1" applyFont="1" applyBorder="1" applyAlignment="1"/>
    <xf numFmtId="2" fontId="10" fillId="0" borderId="0" xfId="1" applyNumberFormat="1" applyAlignment="1"/>
    <xf numFmtId="0" fontId="10" fillId="0" borderId="0" xfId="1" applyFill="1" applyBorder="1" applyAlignment="1" applyProtection="1">
      <alignment horizontal="center"/>
      <protection locked="0"/>
    </xf>
    <xf numFmtId="0" fontId="3" fillId="0" borderId="0" xfId="0" applyFont="1"/>
    <xf numFmtId="165" fontId="10" fillId="0" borderId="8" xfId="1" applyNumberFormat="1" applyFill="1" applyBorder="1" applyAlignment="1"/>
    <xf numFmtId="165" fontId="10" fillId="0" borderId="0" xfId="1" applyNumberFormat="1" applyFill="1" applyBorder="1" applyAlignment="1"/>
    <xf numFmtId="2" fontId="0" fillId="0" borderId="0" xfId="0" applyNumberFormat="1" applyAlignment="1">
      <alignment horizontal="right"/>
    </xf>
    <xf numFmtId="0" fontId="12" fillId="0" borderId="0" xfId="1" applyFont="1" applyAlignment="1"/>
    <xf numFmtId="166" fontId="10" fillId="0" borderId="0" xfId="1" applyNumberFormat="1" applyAlignment="1"/>
    <xf numFmtId="0" fontId="12" fillId="0" borderId="9" xfId="1" applyFont="1" applyBorder="1" applyAlignment="1"/>
    <xf numFmtId="2" fontId="10" fillId="0" borderId="32" xfId="1" applyNumberFormat="1" applyFill="1" applyBorder="1" applyAlignment="1" applyProtection="1">
      <alignment horizontal="center"/>
      <protection locked="0"/>
    </xf>
    <xf numFmtId="2" fontId="10" fillId="0" borderId="33" xfId="1" applyNumberFormat="1" applyFill="1" applyBorder="1" applyAlignment="1" applyProtection="1">
      <alignment horizontal="center"/>
      <protection locked="0"/>
    </xf>
    <xf numFmtId="2" fontId="10" fillId="0" borderId="34" xfId="1" applyNumberFormat="1" applyFill="1" applyBorder="1" applyAlignment="1" applyProtection="1">
      <alignment horizontal="center"/>
      <protection locked="0"/>
    </xf>
    <xf numFmtId="2" fontId="10" fillId="0" borderId="35" xfId="1" applyNumberFormat="1" applyFill="1" applyBorder="1" applyAlignment="1" applyProtection="1">
      <alignment horizontal="center"/>
      <protection locked="0"/>
    </xf>
    <xf numFmtId="2" fontId="10" fillId="0" borderId="36" xfId="1" applyNumberFormat="1" applyFill="1" applyBorder="1" applyAlignment="1" applyProtection="1">
      <alignment horizontal="center"/>
      <protection locked="0"/>
    </xf>
    <xf numFmtId="2" fontId="10" fillId="0" borderId="39" xfId="1" applyNumberFormat="1" applyFill="1" applyBorder="1" applyAlignment="1" applyProtection="1">
      <alignment horizontal="center"/>
      <protection locked="0"/>
    </xf>
    <xf numFmtId="2" fontId="10" fillId="0" borderId="40" xfId="1" applyNumberFormat="1" applyFill="1" applyBorder="1" applyAlignment="1" applyProtection="1">
      <alignment horizontal="center"/>
      <protection locked="0"/>
    </xf>
    <xf numFmtId="2" fontId="10" fillId="0" borderId="41" xfId="1" applyNumberFormat="1" applyFill="1" applyBorder="1" applyAlignment="1" applyProtection="1">
      <alignment horizontal="center"/>
      <protection locked="0"/>
    </xf>
    <xf numFmtId="2" fontId="10" fillId="0" borderId="42" xfId="1" applyNumberFormat="1" applyFill="1" applyBorder="1" applyAlignment="1" applyProtection="1">
      <alignment horizontal="center"/>
      <protection locked="0"/>
    </xf>
    <xf numFmtId="2" fontId="10" fillId="0" borderId="43" xfId="1" applyNumberFormat="1" applyFill="1" applyBorder="1" applyAlignment="1" applyProtection="1">
      <alignment horizontal="center"/>
      <protection locked="0"/>
    </xf>
    <xf numFmtId="2" fontId="10" fillId="0" borderId="44" xfId="1" applyNumberFormat="1" applyFill="1" applyBorder="1" applyAlignment="1" applyProtection="1">
      <alignment horizontal="center"/>
      <protection locked="0"/>
    </xf>
    <xf numFmtId="2" fontId="10" fillId="0" borderId="45" xfId="1" applyNumberFormat="1" applyFill="1" applyBorder="1" applyAlignment="1" applyProtection="1">
      <alignment horizontal="center"/>
      <protection locked="0"/>
    </xf>
    <xf numFmtId="2" fontId="10" fillId="0" borderId="46" xfId="1" applyNumberFormat="1" applyFill="1" applyBorder="1" applyAlignment="1" applyProtection="1">
      <alignment horizontal="center"/>
      <protection locked="0"/>
    </xf>
    <xf numFmtId="2" fontId="10" fillId="0" borderId="47" xfId="1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2" fontId="10" fillId="0" borderId="37" xfId="1" applyNumberFormat="1" applyFill="1" applyBorder="1" applyAlignment="1">
      <alignment horizontal="center"/>
    </xf>
    <xf numFmtId="2" fontId="10" fillId="0" borderId="38" xfId="1" applyNumberFormat="1" applyFill="1" applyBorder="1" applyAlignment="1">
      <alignment horizontal="center"/>
    </xf>
    <xf numFmtId="2" fontId="12" fillId="0" borderId="38" xfId="1" applyNumberFormat="1" applyFont="1" applyFill="1" applyBorder="1" applyAlignment="1">
      <alignment horizontal="center"/>
    </xf>
    <xf numFmtId="0" fontId="10" fillId="0" borderId="10" xfId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10" fontId="10" fillId="0" borderId="0" xfId="1" applyNumberFormat="1" applyAlignment="1"/>
    <xf numFmtId="10" fontId="10" fillId="0" borderId="57" xfId="1" applyNumberFormat="1" applyBorder="1" applyAlignment="1"/>
    <xf numFmtId="0" fontId="0" fillId="0" borderId="0" xfId="0" applyFill="1" applyAlignment="1" applyProtection="1">
      <alignment horizontal="center"/>
    </xf>
    <xf numFmtId="166" fontId="12" fillId="0" borderId="0" xfId="1" applyNumberFormat="1" applyFont="1" applyAlignment="1"/>
    <xf numFmtId="0" fontId="12" fillId="0" borderId="0" xfId="1" applyFont="1" applyAlignment="1">
      <alignment horizontal="left" indent="1"/>
    </xf>
    <xf numFmtId="2" fontId="11" fillId="4" borderId="6" xfId="1" applyNumberFormat="1" applyFont="1" applyFill="1" applyBorder="1" applyAlignment="1">
      <alignment horizontal="center"/>
    </xf>
    <xf numFmtId="0" fontId="11" fillId="4" borderId="4" xfId="1" applyFont="1" applyFill="1" applyBorder="1" applyAlignment="1">
      <alignment horizontal="right"/>
    </xf>
    <xf numFmtId="2" fontId="4" fillId="3" borderId="3" xfId="0" applyNumberFormat="1" applyFont="1" applyFill="1" applyBorder="1" applyProtection="1">
      <protection locked="0"/>
    </xf>
    <xf numFmtId="2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58" xfId="0" applyFont="1" applyBorder="1" applyAlignment="1">
      <alignment horizontal="right" indent="1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0" xfId="0" applyAlignment="1">
      <alignment horizontal="left" indent="2"/>
    </xf>
    <xf numFmtId="0" fontId="14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left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indent="1"/>
    </xf>
    <xf numFmtId="9" fontId="0" fillId="0" borderId="0" xfId="0" applyNumberFormat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Fill="1" applyBorder="1" applyAlignment="1" applyProtection="1">
      <alignment horizontal="right" indent="1"/>
    </xf>
    <xf numFmtId="167" fontId="0" fillId="0" borderId="0" xfId="0" applyNumberFormat="1" applyProtection="1"/>
    <xf numFmtId="164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Continuous"/>
    </xf>
    <xf numFmtId="1" fontId="0" fillId="0" borderId="0" xfId="0" applyNumberForma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centerContinuous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3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2"/>
    </xf>
    <xf numFmtId="0" fontId="0" fillId="0" borderId="0" xfId="0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/>
    </xf>
    <xf numFmtId="2" fontId="4" fillId="0" borderId="18" xfId="0" applyNumberFormat="1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Border="1" applyProtection="1"/>
    <xf numFmtId="0" fontId="0" fillId="3" borderId="69" xfId="0" applyFill="1" applyBorder="1" applyAlignment="1" applyProtection="1">
      <alignment horizontal="center"/>
      <protection locked="0"/>
    </xf>
    <xf numFmtId="0" fontId="8" fillId="0" borderId="0" xfId="0" applyFont="1"/>
    <xf numFmtId="0" fontId="0" fillId="0" borderId="14" xfId="0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7" xfId="0" applyFont="1" applyFill="1" applyBorder="1"/>
    <xf numFmtId="0" fontId="18" fillId="0" borderId="0" xfId="0" applyFont="1" applyFill="1"/>
    <xf numFmtId="0" fontId="18" fillId="0" borderId="0" xfId="0" applyFont="1" applyBorder="1"/>
    <xf numFmtId="0" fontId="18" fillId="0" borderId="18" xfId="0" applyFont="1" applyFill="1" applyBorder="1"/>
    <xf numFmtId="0" fontId="18" fillId="0" borderId="76" xfId="0" applyFont="1" applyFill="1" applyBorder="1"/>
    <xf numFmtId="0" fontId="18" fillId="0" borderId="16" xfId="0" applyFont="1" applyFill="1" applyBorder="1"/>
    <xf numFmtId="0" fontId="18" fillId="0" borderId="58" xfId="0" applyFont="1" applyFill="1" applyBorder="1"/>
    <xf numFmtId="0" fontId="21" fillId="0" borderId="0" xfId="0" applyFont="1" applyFill="1" applyBorder="1"/>
    <xf numFmtId="0" fontId="19" fillId="0" borderId="0" xfId="0" applyFont="1" applyFill="1" applyBorder="1"/>
    <xf numFmtId="0" fontId="19" fillId="0" borderId="58" xfId="0" applyFont="1" applyFill="1" applyBorder="1"/>
    <xf numFmtId="0" fontId="18" fillId="0" borderId="70" xfId="0" applyFont="1" applyFill="1" applyBorder="1"/>
    <xf numFmtId="0" fontId="18" fillId="0" borderId="14" xfId="0" applyFont="1" applyFill="1" applyBorder="1"/>
    <xf numFmtId="0" fontId="18" fillId="0" borderId="71" xfId="0" applyFont="1" applyFill="1" applyBorder="1"/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right" indent="1"/>
    </xf>
    <xf numFmtId="164" fontId="5" fillId="4" borderId="17" xfId="0" applyNumberFormat="1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left" indent="1"/>
    </xf>
    <xf numFmtId="166" fontId="0" fillId="3" borderId="3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16" fillId="0" borderId="0" xfId="0" applyFont="1" applyFill="1" applyBorder="1" applyProtection="1"/>
    <xf numFmtId="0" fontId="3" fillId="0" borderId="0" xfId="0" applyFont="1" applyAlignment="1">
      <alignment horizontal="right" indent="1"/>
    </xf>
    <xf numFmtId="2" fontId="4" fillId="0" borderId="16" xfId="0" applyNumberFormat="1" applyFont="1" applyFill="1" applyBorder="1" applyProtection="1"/>
    <xf numFmtId="2" fontId="4" fillId="0" borderId="70" xfId="0" applyNumberFormat="1" applyFont="1" applyFill="1" applyBorder="1" applyProtection="1"/>
    <xf numFmtId="0" fontId="4" fillId="0" borderId="4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right" indent="1"/>
    </xf>
    <xf numFmtId="2" fontId="4" fillId="0" borderId="58" xfId="0" applyNumberFormat="1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center"/>
    </xf>
    <xf numFmtId="0" fontId="4" fillId="0" borderId="70" xfId="0" applyFont="1" applyBorder="1" applyAlignment="1" applyProtection="1">
      <alignment horizontal="right" indent="1"/>
    </xf>
    <xf numFmtId="0" fontId="4" fillId="0" borderId="71" xfId="0" applyFont="1" applyFill="1" applyBorder="1" applyAlignment="1" applyProtection="1">
      <alignment horizontal="center"/>
    </xf>
    <xf numFmtId="0" fontId="16" fillId="0" borderId="70" xfId="0" applyFont="1" applyBorder="1" applyAlignment="1" applyProtection="1">
      <alignment horizontal="right" indent="1"/>
    </xf>
    <xf numFmtId="2" fontId="16" fillId="0" borderId="70" xfId="0" applyNumberFormat="1" applyFont="1" applyBorder="1" applyProtection="1"/>
    <xf numFmtId="0" fontId="4" fillId="0" borderId="14" xfId="0" applyFont="1" applyBorder="1" applyProtection="1"/>
    <xf numFmtId="0" fontId="4" fillId="0" borderId="71" xfId="0" applyFont="1" applyBorder="1" applyProtection="1"/>
    <xf numFmtId="0" fontId="4" fillId="0" borderId="6" xfId="0" applyFont="1" applyBorder="1" applyAlignment="1" applyProtection="1">
      <alignment horizontal="right"/>
    </xf>
    <xf numFmtId="2" fontId="4" fillId="0" borderId="58" xfId="0" applyNumberFormat="1" applyFont="1" applyFill="1" applyBorder="1" applyProtection="1"/>
    <xf numFmtId="2" fontId="4" fillId="0" borderId="71" xfId="0" applyNumberFormat="1" applyFont="1" applyFill="1" applyBorder="1" applyProtection="1"/>
    <xf numFmtId="2" fontId="16" fillId="0" borderId="71" xfId="0" applyNumberFormat="1" applyFont="1" applyBorder="1" applyProtection="1"/>
    <xf numFmtId="0" fontId="0" fillId="0" borderId="0" xfId="0" applyFill="1" applyBorder="1" applyAlignment="1" applyProtection="1">
      <alignment horizontal="center"/>
    </xf>
    <xf numFmtId="9" fontId="0" fillId="0" borderId="0" xfId="0" applyNumberForma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164" fontId="16" fillId="4" borderId="0" xfId="0" applyNumberFormat="1" applyFont="1" applyFill="1" applyBorder="1" applyAlignment="1" applyProtection="1">
      <alignment horizontal="right" indent="1"/>
    </xf>
    <xf numFmtId="0" fontId="3" fillId="4" borderId="0" xfId="0" applyFont="1" applyFill="1" applyBorder="1" applyAlignment="1" applyProtection="1">
      <alignment horizontal="right" indent="1"/>
    </xf>
    <xf numFmtId="0" fontId="0" fillId="0" borderId="0" xfId="0" applyFill="1" applyBorder="1" applyAlignment="1" applyProtection="1"/>
    <xf numFmtId="0" fontId="12" fillId="0" borderId="57" xfId="1" applyFont="1" applyBorder="1" applyAlignment="1">
      <alignment horizontal="left"/>
    </xf>
    <xf numFmtId="0" fontId="12" fillId="0" borderId="59" xfId="1" applyFont="1" applyBorder="1" applyAlignment="1">
      <alignment horizontal="left"/>
    </xf>
    <xf numFmtId="2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indent="2"/>
    </xf>
    <xf numFmtId="0" fontId="18" fillId="0" borderId="0" xfId="0" applyFont="1" applyFill="1" applyBorder="1"/>
    <xf numFmtId="0" fontId="18" fillId="0" borderId="0" xfId="0" applyFont="1"/>
    <xf numFmtId="0" fontId="19" fillId="0" borderId="0" xfId="0" applyFont="1"/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/>
    <xf numFmtId="0" fontId="18" fillId="0" borderId="0" xfId="0" applyFont="1" applyAlignment="1">
      <alignment horizontal="center"/>
    </xf>
    <xf numFmtId="0" fontId="23" fillId="0" borderId="0" xfId="0" applyFont="1"/>
    <xf numFmtId="0" fontId="18" fillId="0" borderId="0" xfId="0" quotePrefix="1" applyFont="1" applyAlignment="1">
      <alignment horizontal="center"/>
    </xf>
    <xf numFmtId="2" fontId="4" fillId="0" borderId="0" xfId="0" applyNumberFormat="1" applyFont="1"/>
    <xf numFmtId="0" fontId="18" fillId="0" borderId="0" xfId="0" applyFont="1"/>
    <xf numFmtId="0" fontId="18" fillId="0" borderId="0" xfId="0" applyFont="1" applyFill="1" applyBorder="1" applyAlignment="1">
      <alignment horizontal="right"/>
    </xf>
    <xf numFmtId="0" fontId="19" fillId="0" borderId="0" xfId="0" applyFont="1" applyAlignment="1"/>
    <xf numFmtId="0" fontId="18" fillId="0" borderId="0" xfId="0" applyFont="1"/>
    <xf numFmtId="0" fontId="26" fillId="0" borderId="0" xfId="0" applyFont="1" applyAlignment="1">
      <alignment horizontal="left" indent="1"/>
    </xf>
    <xf numFmtId="0" fontId="26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right" indent="1"/>
    </xf>
    <xf numFmtId="1" fontId="5" fillId="4" borderId="72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 applyProtection="1">
      <alignment horizontal="right" indent="2"/>
    </xf>
    <xf numFmtId="0" fontId="24" fillId="0" borderId="0" xfId="0" applyFont="1" applyFill="1" applyBorder="1" applyAlignment="1">
      <alignment horizontal="center"/>
    </xf>
    <xf numFmtId="0" fontId="18" fillId="0" borderId="0" xfId="0" applyFont="1"/>
    <xf numFmtId="0" fontId="29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2" fontId="0" fillId="3" borderId="3" xfId="0" applyNumberFormat="1" applyFill="1" applyBorder="1" applyProtection="1">
      <protection locked="0"/>
    </xf>
    <xf numFmtId="2" fontId="0" fillId="0" borderId="0" xfId="0" applyNumberFormat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2" fontId="4" fillId="0" borderId="3" xfId="0" applyNumberFormat="1" applyFont="1" applyBorder="1" applyProtection="1"/>
    <xf numFmtId="2" fontId="4" fillId="0" borderId="38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right"/>
    </xf>
    <xf numFmtId="0" fontId="18" fillId="0" borderId="0" xfId="0" applyFont="1" applyFill="1" applyBorder="1"/>
    <xf numFmtId="0" fontId="18" fillId="0" borderId="0" xfId="0" applyFont="1"/>
    <xf numFmtId="0" fontId="0" fillId="0" borderId="0" xfId="0" applyAlignment="1"/>
    <xf numFmtId="0" fontId="2" fillId="0" borderId="0" xfId="0" applyFont="1"/>
    <xf numFmtId="2" fontId="18" fillId="0" borderId="0" xfId="0" applyNumberFormat="1" applyFont="1" applyAlignment="1"/>
    <xf numFmtId="0" fontId="25" fillId="0" borderId="0" xfId="7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7" fillId="3" borderId="73" xfId="0" applyFont="1" applyFill="1" applyBorder="1" applyAlignment="1">
      <alignment horizontal="center"/>
    </xf>
    <xf numFmtId="0" fontId="27" fillId="3" borderId="74" xfId="0" applyFont="1" applyFill="1" applyBorder="1" applyAlignment="1">
      <alignment horizontal="center"/>
    </xf>
    <xf numFmtId="0" fontId="27" fillId="3" borderId="75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2" fontId="18" fillId="0" borderId="0" xfId="0" applyNumberFormat="1" applyFont="1" applyAlignment="1"/>
    <xf numFmtId="0" fontId="0" fillId="0" borderId="0" xfId="0" applyAlignment="1"/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/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8" fillId="0" borderId="0" xfId="0" applyFont="1"/>
    <xf numFmtId="16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left"/>
    </xf>
    <xf numFmtId="0" fontId="18" fillId="0" borderId="14" xfId="0" applyFont="1" applyFill="1" applyBorder="1"/>
    <xf numFmtId="164" fontId="18" fillId="0" borderId="0" xfId="0" applyNumberFormat="1" applyFont="1" applyFill="1" applyBorder="1"/>
    <xf numFmtId="166" fontId="18" fillId="0" borderId="0" xfId="0" applyNumberFormat="1" applyFont="1"/>
    <xf numFmtId="164" fontId="18" fillId="0" borderId="0" xfId="0" applyNumberFormat="1" applyFont="1" applyFill="1" applyBorder="1" applyAlignment="1">
      <alignment horizontal="right"/>
    </xf>
    <xf numFmtId="164" fontId="18" fillId="0" borderId="14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 indent="1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2" fillId="0" borderId="57" xfId="1" applyFont="1" applyBorder="1" applyAlignment="1">
      <alignment horizontal="center" vertical="center" wrapText="1"/>
    </xf>
    <xf numFmtId="0" fontId="10" fillId="0" borderId="57" xfId="1" applyBorder="1" applyAlignment="1">
      <alignment horizontal="center" vertical="center" wrapText="1"/>
    </xf>
    <xf numFmtId="0" fontId="10" fillId="0" borderId="54" xfId="1" applyBorder="1" applyAlignment="1">
      <alignment horizontal="center" vertical="center"/>
    </xf>
    <xf numFmtId="0" fontId="10" fillId="0" borderId="9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2" xfId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0" borderId="0" xfId="1" applyFont="1" applyAlignment="1"/>
    <xf numFmtId="0" fontId="10" fillId="0" borderId="20" xfId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67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1" applyBorder="1" applyAlignment="1">
      <alignment horizontal="center" vertical="center"/>
    </xf>
    <xf numFmtId="0" fontId="0" fillId="0" borderId="68" xfId="0" applyBorder="1" applyAlignment="1"/>
    <xf numFmtId="0" fontId="12" fillId="0" borderId="48" xfId="1" applyFont="1" applyBorder="1" applyAlignment="1">
      <alignment horizontal="left" vertical="center" wrapText="1"/>
    </xf>
    <xf numFmtId="0" fontId="10" fillId="0" borderId="53" xfId="1" applyBorder="1" applyAlignment="1">
      <alignment horizontal="left" vertical="center" wrapText="1"/>
    </xf>
    <xf numFmtId="0" fontId="10" fillId="0" borderId="55" xfId="1" applyBorder="1" applyAlignment="1">
      <alignment horizontal="left" vertical="center" wrapText="1"/>
    </xf>
    <xf numFmtId="0" fontId="10" fillId="0" borderId="52" xfId="1" applyBorder="1" applyAlignment="1">
      <alignment horizontal="center"/>
    </xf>
    <xf numFmtId="0" fontId="10" fillId="0" borderId="66" xfId="1" applyBorder="1" applyAlignment="1">
      <alignment horizontal="center"/>
    </xf>
    <xf numFmtId="0" fontId="10" fillId="0" borderId="11" xfId="1" applyBorder="1" applyAlignment="1">
      <alignment horizontal="center" vertical="center" wrapText="1"/>
    </xf>
    <xf numFmtId="0" fontId="10" fillId="0" borderId="21" xfId="1" applyBorder="1" applyAlignment="1">
      <alignment horizontal="center" vertical="center" wrapText="1"/>
    </xf>
    <xf numFmtId="0" fontId="10" fillId="0" borderId="22" xfId="1" applyBorder="1" applyAlignment="1">
      <alignment horizontal="center" vertical="center" wrapText="1"/>
    </xf>
    <xf numFmtId="0" fontId="10" fillId="0" borderId="15" xfId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0" fillId="0" borderId="8" xfId="1" applyBorder="1" applyAlignment="1">
      <alignment horizontal="left" vertical="center" wrapText="1"/>
    </xf>
    <xf numFmtId="0" fontId="10" fillId="0" borderId="9" xfId="1" applyBorder="1" applyAlignment="1">
      <alignment horizontal="left" vertical="center" wrapText="1"/>
    </xf>
    <xf numFmtId="0" fontId="10" fillId="0" borderId="19" xfId="1" applyBorder="1" applyAlignment="1">
      <alignment horizontal="center" vertical="center" wrapText="1"/>
    </xf>
    <xf numFmtId="0" fontId="10" fillId="0" borderId="17" xfId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</cellXfs>
  <cellStyles count="9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Followed Hyperlink" xfId="8" builtinId="9" hidden="1"/>
    <cellStyle name="Hyperlink" xfId="7" builtinId="8"/>
    <cellStyle name="Normal" xfId="0" builtinId="0"/>
    <cellStyle name="Normal 2" xfId="1" xr:uid="{00000000-0005-0000-0000-000007000000}"/>
    <cellStyle name="Normal 2 2" xfId="6" xr:uid="{00000000-0005-0000-0000-000008000000}"/>
  </cellStyles>
  <dxfs count="0"/>
  <tableStyles count="0" defaultTableStyle="TableStyleMedium2" defaultPivotStyle="PivotStyleLight16"/>
  <colors>
    <mruColors>
      <color rgb="FFFFFF99"/>
      <color rgb="FFCCFFCC"/>
      <color rgb="FFCCCCFF"/>
      <color rgb="FFCCEC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16935</xdr:rowOff>
    </xdr:from>
    <xdr:to>
      <xdr:col>6</xdr:col>
      <xdr:colOff>450850</xdr:colOff>
      <xdr:row>49</xdr:row>
      <xdr:rowOff>70626</xdr:rowOff>
    </xdr:to>
    <xdr:pic>
      <xdr:nvPicPr>
        <xdr:cNvPr id="2" name="Picture 1" descr="2D_EqFlowUK_tal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646085"/>
          <a:ext cx="2286000" cy="438439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16933</xdr:rowOff>
    </xdr:from>
    <xdr:to>
      <xdr:col>16</xdr:col>
      <xdr:colOff>474324</xdr:colOff>
      <xdr:row>49</xdr:row>
      <xdr:rowOff>145933</xdr:rowOff>
    </xdr:to>
    <xdr:pic>
      <xdr:nvPicPr>
        <xdr:cNvPr id="3" name="Picture 2" descr="2D_CW Onl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0" y="4881033"/>
          <a:ext cx="2322174" cy="44597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19051</xdr:colOff>
      <xdr:row>27</xdr:row>
      <xdr:rowOff>25400</xdr:rowOff>
    </xdr:from>
    <xdr:to>
      <xdr:col>11</xdr:col>
      <xdr:colOff>454296</xdr:colOff>
      <xdr:row>49</xdr:row>
      <xdr:rowOff>154400</xdr:rowOff>
    </xdr:to>
    <xdr:pic>
      <xdr:nvPicPr>
        <xdr:cNvPr id="4" name="Picture 3" descr="2D_HW Only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301" y="4889500"/>
          <a:ext cx="2283095" cy="4459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KITCHE~1/AppData/Local/Temp/DWHR_HERS_Credit_Calculation_Tool_2014-09-0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WHR_Input"/>
      <sheetName val="DWHR_output"/>
      <sheetName val="DWHR_calcs"/>
      <sheetName val="HERS_calcs"/>
    </sheetNames>
    <sheetDataSet>
      <sheetData sheetId="0"/>
      <sheetData sheetId="1">
        <row r="4">
          <cell r="J4">
            <v>2400</v>
          </cell>
        </row>
        <row r="5">
          <cell r="J5">
            <v>3</v>
          </cell>
        </row>
        <row r="6">
          <cell r="J6">
            <v>2</v>
          </cell>
        </row>
        <row r="7">
          <cell r="J7" t="str">
            <v>No</v>
          </cell>
        </row>
        <row r="12">
          <cell r="J12">
            <v>0.59</v>
          </cell>
        </row>
        <row r="15">
          <cell r="B15">
            <v>55.8</v>
          </cell>
        </row>
      </sheetData>
      <sheetData sheetId="2" refreshError="1"/>
      <sheetData sheetId="3">
        <row r="3">
          <cell r="J3">
            <v>49.350756686863704</v>
          </cell>
          <cell r="M3">
            <v>125</v>
          </cell>
        </row>
        <row r="4">
          <cell r="J4">
            <v>42.921185820504867</v>
          </cell>
          <cell r="M4">
            <v>105</v>
          </cell>
          <cell r="S4">
            <v>12</v>
          </cell>
        </row>
        <row r="5">
          <cell r="J5">
            <v>160.00024718064643</v>
          </cell>
          <cell r="M5">
            <v>62.199999999999996</v>
          </cell>
          <cell r="S5">
            <v>0.46</v>
          </cell>
        </row>
        <row r="6">
          <cell r="J6">
            <v>112.24722169454564</v>
          </cell>
          <cell r="M6">
            <v>0.68152866242038224</v>
          </cell>
        </row>
        <row r="7">
          <cell r="J7">
            <v>0.70154405179020896</v>
          </cell>
          <cell r="M7">
            <v>0.60518531177551171</v>
          </cell>
          <cell r="S7">
            <v>2.8740000000000001</v>
          </cell>
        </row>
        <row r="8">
          <cell r="J8">
            <v>0.95</v>
          </cell>
          <cell r="M8">
            <v>97</v>
          </cell>
          <cell r="S8">
            <v>704</v>
          </cell>
        </row>
        <row r="9">
          <cell r="J9">
            <v>319.8103266596417</v>
          </cell>
          <cell r="M9">
            <v>0.59077200000000007</v>
          </cell>
          <cell r="S9">
            <v>8.0299999999999996E-2</v>
          </cell>
        </row>
        <row r="10">
          <cell r="J10">
            <v>330.88548210670763</v>
          </cell>
          <cell r="M10">
            <v>0.60140000000000005</v>
          </cell>
          <cell r="S10">
            <v>0.57999999999999996</v>
          </cell>
        </row>
        <row r="11">
          <cell r="M11">
            <v>1</v>
          </cell>
          <cell r="S11">
            <v>23</v>
          </cell>
        </row>
        <row r="12">
          <cell r="M12">
            <v>1</v>
          </cell>
        </row>
        <row r="13">
          <cell r="J13">
            <v>8.2425345250833111</v>
          </cell>
          <cell r="M13">
            <v>89.282032302755098</v>
          </cell>
        </row>
        <row r="14">
          <cell r="M14">
            <v>0.98214359353944902</v>
          </cell>
        </row>
        <row r="15">
          <cell r="M15">
            <v>12.143323345082411</v>
          </cell>
        </row>
        <row r="16">
          <cell r="J16">
            <v>8.2429852745383005</v>
          </cell>
          <cell r="M16">
            <v>74.34332334508241</v>
          </cell>
        </row>
        <row r="17">
          <cell r="B17">
            <v>0</v>
          </cell>
          <cell r="J17">
            <v>60</v>
          </cell>
          <cell r="M17">
            <v>0.71535309700841443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eatherbase.com/weather/state.php3?c=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R27"/>
  <sheetViews>
    <sheetView tabSelected="1" workbookViewId="0">
      <selection sqref="A1:Q1"/>
    </sheetView>
  </sheetViews>
  <sheetFormatPr baseColWidth="10" defaultColWidth="8.83203125" defaultRowHeight="16" x14ac:dyDescent="0.2"/>
  <cols>
    <col min="1" max="1" width="3.5" style="204" customWidth="1"/>
    <col min="2" max="2" width="3.5" style="208" customWidth="1"/>
    <col min="3" max="4" width="2.5" style="208" customWidth="1"/>
    <col min="5" max="16384" width="8.83203125" style="208"/>
  </cols>
  <sheetData>
    <row r="1" spans="1:18" ht="24" x14ac:dyDescent="0.3">
      <c r="A1" s="236" t="s">
        <v>243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/>
      <c r="R1" s="220"/>
    </row>
    <row r="2" spans="1:18" x14ac:dyDescent="0.2">
      <c r="A2" s="206" t="s">
        <v>206</v>
      </c>
      <c r="B2" s="208" t="s">
        <v>244</v>
      </c>
    </row>
    <row r="3" spans="1:18" s="211" customFormat="1" x14ac:dyDescent="0.2">
      <c r="A3" s="206"/>
      <c r="B3" s="212" t="s">
        <v>236</v>
      </c>
      <c r="C3" s="213"/>
      <c r="D3" s="213"/>
    </row>
    <row r="4" spans="1:18" s="211" customFormat="1" x14ac:dyDescent="0.2">
      <c r="A4" s="206"/>
      <c r="D4" s="235" t="s">
        <v>234</v>
      </c>
      <c r="E4" s="235"/>
      <c r="F4" s="235"/>
      <c r="G4" s="235"/>
      <c r="H4" s="235"/>
      <c r="I4" s="235"/>
      <c r="J4" s="235"/>
    </row>
    <row r="5" spans="1:18" x14ac:dyDescent="0.2">
      <c r="B5" s="199" t="s">
        <v>233</v>
      </c>
    </row>
    <row r="6" spans="1:18" x14ac:dyDescent="0.2">
      <c r="C6" s="205" t="s">
        <v>224</v>
      </c>
    </row>
    <row r="7" spans="1:18" x14ac:dyDescent="0.2">
      <c r="D7" s="208" t="s">
        <v>219</v>
      </c>
    </row>
    <row r="8" spans="1:18" x14ac:dyDescent="0.2">
      <c r="D8" s="208" t="s">
        <v>220</v>
      </c>
    </row>
    <row r="9" spans="1:18" x14ac:dyDescent="0.2">
      <c r="E9" s="208" t="s">
        <v>248</v>
      </c>
    </row>
    <row r="10" spans="1:18" x14ac:dyDescent="0.2">
      <c r="C10" s="205" t="s">
        <v>11</v>
      </c>
    </row>
    <row r="11" spans="1:18" x14ac:dyDescent="0.2">
      <c r="D11" s="208" t="s">
        <v>221</v>
      </c>
    </row>
    <row r="12" spans="1:18" x14ac:dyDescent="0.2">
      <c r="E12" s="208" t="s">
        <v>225</v>
      </c>
    </row>
    <row r="13" spans="1:18" x14ac:dyDescent="0.2">
      <c r="D13" s="208" t="s">
        <v>226</v>
      </c>
    </row>
    <row r="14" spans="1:18" x14ac:dyDescent="0.2">
      <c r="E14" s="208" t="s">
        <v>227</v>
      </c>
    </row>
    <row r="15" spans="1:18" x14ac:dyDescent="0.2">
      <c r="D15" s="208" t="s">
        <v>228</v>
      </c>
    </row>
    <row r="16" spans="1:18" x14ac:dyDescent="0.2">
      <c r="E16" s="208" t="s">
        <v>229</v>
      </c>
    </row>
    <row r="17" spans="1:14" x14ac:dyDescent="0.2">
      <c r="C17" s="205" t="s">
        <v>230</v>
      </c>
    </row>
    <row r="18" spans="1:14" x14ac:dyDescent="0.2">
      <c r="D18" s="208" t="s">
        <v>222</v>
      </c>
    </row>
    <row r="19" spans="1:14" x14ac:dyDescent="0.2">
      <c r="D19" s="208" t="s">
        <v>223</v>
      </c>
    </row>
    <row r="20" spans="1:14" x14ac:dyDescent="0.2">
      <c r="C20" s="205" t="s">
        <v>74</v>
      </c>
    </row>
    <row r="21" spans="1:14" x14ac:dyDescent="0.2">
      <c r="D21" s="208" t="s">
        <v>246</v>
      </c>
    </row>
    <row r="22" spans="1:14" x14ac:dyDescent="0.2">
      <c r="D22" s="208" t="s">
        <v>247</v>
      </c>
    </row>
    <row r="23" spans="1:14" s="221" customFormat="1" x14ac:dyDescent="0.2">
      <c r="A23" s="206" t="s">
        <v>207</v>
      </c>
      <c r="B23" s="221" t="s">
        <v>253</v>
      </c>
    </row>
    <row r="24" spans="1:14" s="221" customFormat="1" x14ac:dyDescent="0.2">
      <c r="A24" s="206" t="s">
        <v>250</v>
      </c>
      <c r="B24" s="208" t="s">
        <v>245</v>
      </c>
    </row>
    <row r="25" spans="1:14" x14ac:dyDescent="0.2">
      <c r="A25" s="206" t="s">
        <v>251</v>
      </c>
      <c r="B25" s="208" t="s">
        <v>252</v>
      </c>
    </row>
    <row r="26" spans="1:14" ht="6" customHeight="1" x14ac:dyDescent="0.2"/>
    <row r="27" spans="1:14" x14ac:dyDescent="0.2">
      <c r="B27" s="210" t="s">
        <v>231</v>
      </c>
      <c r="E27" s="210"/>
      <c r="F27" s="210"/>
      <c r="G27" s="210"/>
      <c r="H27" s="210"/>
      <c r="I27" s="210" t="s">
        <v>232</v>
      </c>
      <c r="K27" s="210"/>
      <c r="L27" s="210"/>
      <c r="N27" s="210" t="s">
        <v>249</v>
      </c>
    </row>
  </sheetData>
  <sheetProtection algorithmName="SHA-512" hashValue="379jUGR3bJDx8VQhpxolyqt7Mbqd4r+DcPvsVUX1v1lmChxlALeLU4qjqLTYw2m6eSPfSeEOktmUokjwVyg4Fg==" saltValue="HV7NVtMCOUxqEI3zbNPR9g==" spinCount="100000" sheet="1" objects="1" scenarios="1"/>
  <mergeCells count="2">
    <mergeCell ref="D4:J4"/>
    <mergeCell ref="A1:Q1"/>
  </mergeCells>
  <hyperlinks>
    <hyperlink ref="D4" r:id="rId1" xr:uid="{00000000-0004-0000-0000-000000000000}"/>
  </hyperlinks>
  <printOptions horizontalCentered="1" verticalCentered="1"/>
  <pageMargins left="0.39370078740157483" right="0.39370078740157483" top="0.39370078740157483" bottom="0.39370078740157483" header="0" footer="0"/>
  <pageSetup scale="78" orientation="landscape" horizontalDpi="4294967292" verticalDpi="4294967292"/>
  <ignoredErrors>
    <ignoredError sqref="A2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Y42"/>
  <sheetViews>
    <sheetView workbookViewId="0">
      <selection sqref="A1:J1"/>
    </sheetView>
  </sheetViews>
  <sheetFormatPr baseColWidth="10" defaultColWidth="8.83203125" defaultRowHeight="15" x14ac:dyDescent="0.2"/>
  <cols>
    <col min="1" max="1" width="28.1640625" customWidth="1"/>
    <col min="2" max="2" width="10.83203125" customWidth="1"/>
    <col min="6" max="6" width="2.5" customWidth="1"/>
    <col min="7" max="7" width="14.5" customWidth="1"/>
    <col min="8" max="8" width="10.5" customWidth="1"/>
    <col min="11" max="11" width="30.5" customWidth="1"/>
    <col min="12" max="12" width="8.6640625" hidden="1" customWidth="1"/>
    <col min="13" max="13" width="22.5" hidden="1" customWidth="1"/>
  </cols>
  <sheetData>
    <row r="1" spans="1:25" s="1" customFormat="1" ht="21.5" customHeight="1" thickBot="1" x14ac:dyDescent="0.35">
      <c r="A1" s="236" t="s">
        <v>116</v>
      </c>
      <c r="B1" s="239"/>
      <c r="C1" s="239"/>
      <c r="D1" s="239"/>
      <c r="E1" s="239"/>
      <c r="F1" s="239"/>
      <c r="G1" s="239"/>
      <c r="H1" s="237"/>
      <c r="I1" s="237"/>
      <c r="J1" s="238"/>
    </row>
    <row r="2" spans="1:25" s="97" customFormat="1" ht="16" customHeight="1" thickBot="1" x14ac:dyDescent="0.3">
      <c r="A2" s="96"/>
      <c r="B2" s="240" t="s">
        <v>178</v>
      </c>
      <c r="C2" s="241"/>
      <c r="D2" s="241"/>
      <c r="E2" s="241"/>
      <c r="F2" s="241"/>
      <c r="G2" s="242"/>
      <c r="H2" s="96"/>
      <c r="I2" s="96"/>
      <c r="J2" s="96"/>
      <c r="L2" s="217" t="s">
        <v>154</v>
      </c>
      <c r="M2" s="214" t="s">
        <v>153</v>
      </c>
    </row>
    <row r="3" spans="1:25" x14ac:dyDescent="0.2">
      <c r="A3" s="72" t="s">
        <v>179</v>
      </c>
      <c r="B3" s="1"/>
      <c r="C3" s="1"/>
      <c r="D3" s="1"/>
      <c r="E3" s="1"/>
      <c r="G3" s="50" t="s">
        <v>237</v>
      </c>
      <c r="L3" s="217">
        <f>IF(B4="",1,0)</f>
        <v>1</v>
      </c>
      <c r="M3" s="214" t="s">
        <v>184</v>
      </c>
      <c r="X3" s="5"/>
      <c r="Y3" s="5"/>
    </row>
    <row r="4" spans="1:25" s="1" customFormat="1" x14ac:dyDescent="0.2">
      <c r="A4" s="196" t="s">
        <v>180</v>
      </c>
      <c r="B4" s="243"/>
      <c r="C4" s="244"/>
      <c r="D4" s="245"/>
      <c r="G4" s="95" t="s">
        <v>238</v>
      </c>
      <c r="H4" s="249"/>
      <c r="I4" s="250"/>
      <c r="J4" s="251"/>
      <c r="L4" s="217">
        <f>IF(B5="",1,0)</f>
        <v>1</v>
      </c>
      <c r="M4" s="214" t="s">
        <v>185</v>
      </c>
      <c r="X4" s="5"/>
      <c r="Y4" s="5"/>
    </row>
    <row r="5" spans="1:25" x14ac:dyDescent="0.2">
      <c r="A5" s="196" t="s">
        <v>181</v>
      </c>
      <c r="B5" s="243"/>
      <c r="C5" s="245"/>
      <c r="D5" s="1"/>
      <c r="E5" s="1"/>
      <c r="G5" s="95" t="s">
        <v>239</v>
      </c>
      <c r="H5" s="249"/>
      <c r="I5" s="251"/>
      <c r="L5" s="217">
        <f>IF(B6="",1,0)</f>
        <v>1</v>
      </c>
      <c r="M5" s="214" t="s">
        <v>186</v>
      </c>
    </row>
    <row r="6" spans="1:25" x14ac:dyDescent="0.2">
      <c r="A6" s="196" t="s">
        <v>182</v>
      </c>
      <c r="B6" s="243"/>
      <c r="C6" s="244"/>
      <c r="D6" s="244"/>
      <c r="E6" s="245"/>
      <c r="G6" s="50" t="s">
        <v>189</v>
      </c>
      <c r="L6" s="217">
        <f>IF(B7="",1,0)</f>
        <v>1</v>
      </c>
      <c r="M6" s="214" t="s">
        <v>187</v>
      </c>
    </row>
    <row r="7" spans="1:25" s="1" customFormat="1" x14ac:dyDescent="0.2">
      <c r="A7" s="196" t="s">
        <v>183</v>
      </c>
      <c r="B7" s="243"/>
      <c r="C7" s="245"/>
      <c r="G7" s="95" t="s">
        <v>108</v>
      </c>
      <c r="J7" s="78"/>
      <c r="L7" s="217">
        <f>IF(H4="",1,0)</f>
        <v>1</v>
      </c>
      <c r="M7" s="214" t="s">
        <v>240</v>
      </c>
    </row>
    <row r="8" spans="1:25" s="1" customFormat="1" x14ac:dyDescent="0.2">
      <c r="A8" s="50" t="s">
        <v>188</v>
      </c>
      <c r="B8" s="135"/>
      <c r="C8"/>
      <c r="D8"/>
      <c r="E8"/>
      <c r="G8" s="95" t="s">
        <v>105</v>
      </c>
      <c r="H8"/>
      <c r="I8"/>
      <c r="J8" s="78"/>
      <c r="L8" s="217">
        <f>IF(H5="",1,0)</f>
        <v>1</v>
      </c>
      <c r="M8" s="214" t="s">
        <v>241</v>
      </c>
    </row>
    <row r="9" spans="1:25" s="1" customFormat="1" x14ac:dyDescent="0.2">
      <c r="A9" s="95" t="s">
        <v>151</v>
      </c>
      <c r="B9" s="243"/>
      <c r="C9" s="244"/>
      <c r="D9" s="244"/>
      <c r="E9" s="245"/>
      <c r="G9" s="95" t="s">
        <v>106</v>
      </c>
      <c r="H9"/>
      <c r="I9"/>
      <c r="J9" s="78"/>
      <c r="K9" s="222" t="s">
        <v>255</v>
      </c>
      <c r="L9" s="217">
        <f>IF(B9="",1,0)</f>
        <v>1</v>
      </c>
      <c r="M9" s="214" t="s">
        <v>152</v>
      </c>
    </row>
    <row r="10" spans="1:25" s="1" customFormat="1" x14ac:dyDescent="0.2">
      <c r="A10" s="95" t="s">
        <v>103</v>
      </c>
      <c r="B10" s="243"/>
      <c r="C10" s="244"/>
      <c r="D10" s="245"/>
      <c r="G10" s="95" t="s">
        <v>107</v>
      </c>
      <c r="J10" s="78"/>
      <c r="K10" s="222" t="s">
        <v>254</v>
      </c>
      <c r="L10" s="217">
        <f>IF(B10="",1,0)</f>
        <v>1</v>
      </c>
      <c r="M10" s="214" t="s">
        <v>119</v>
      </c>
    </row>
    <row r="11" spans="1:25" s="1" customFormat="1" x14ac:dyDescent="0.2">
      <c r="A11" s="95" t="s">
        <v>104</v>
      </c>
      <c r="B11" s="243"/>
      <c r="C11" s="245"/>
      <c r="G11" s="123" t="s">
        <v>214</v>
      </c>
      <c r="H11" s="123"/>
      <c r="I11" s="123"/>
      <c r="J11" s="123"/>
      <c r="L11" s="217">
        <f>IF(B11="",1,0)</f>
        <v>1</v>
      </c>
      <c r="M11" s="214" t="s">
        <v>120</v>
      </c>
    </row>
    <row r="12" spans="1:25" x14ac:dyDescent="0.2">
      <c r="A12" s="95" t="s">
        <v>155</v>
      </c>
      <c r="B12" s="94"/>
      <c r="C12" s="136"/>
      <c r="D12" s="1"/>
      <c r="E12" s="1"/>
      <c r="G12" s="122" t="s">
        <v>76</v>
      </c>
      <c r="H12" s="120" t="s">
        <v>75</v>
      </c>
      <c r="I12" s="121" t="s">
        <v>37</v>
      </c>
      <c r="J12" s="121" t="s">
        <v>38</v>
      </c>
      <c r="K12" s="1"/>
      <c r="L12" s="217">
        <f>IF(B12="",1,0)</f>
        <v>1</v>
      </c>
      <c r="M12" s="214" t="s">
        <v>156</v>
      </c>
    </row>
    <row r="13" spans="1:25" x14ac:dyDescent="0.2">
      <c r="A13" s="73" t="s">
        <v>150</v>
      </c>
      <c r="B13" s="1"/>
      <c r="C13" s="1"/>
      <c r="D13" s="1"/>
      <c r="E13" s="1"/>
      <c r="G13" s="6" t="s">
        <v>33</v>
      </c>
      <c r="H13" s="86"/>
      <c r="I13" s="87"/>
      <c r="J13" s="87"/>
      <c r="K13" s="1"/>
      <c r="L13" s="217">
        <f>IF(J7="",1,0)</f>
        <v>1</v>
      </c>
      <c r="M13" s="214" t="s">
        <v>122</v>
      </c>
    </row>
    <row r="14" spans="1:25" x14ac:dyDescent="0.2">
      <c r="A14" s="95" t="s">
        <v>115</v>
      </c>
      <c r="B14" s="246"/>
      <c r="C14" s="247"/>
      <c r="D14" s="247"/>
      <c r="E14" s="248"/>
      <c r="G14" s="6" t="s">
        <v>40</v>
      </c>
      <c r="H14" s="86"/>
      <c r="I14" s="87"/>
      <c r="J14" s="200"/>
      <c r="K14" s="1"/>
      <c r="L14" s="217">
        <f>IF(J8="",1,0)</f>
        <v>1</v>
      </c>
      <c r="M14" s="214" t="s">
        <v>123</v>
      </c>
    </row>
    <row r="15" spans="1:25" x14ac:dyDescent="0.2">
      <c r="A15" s="95" t="s">
        <v>114</v>
      </c>
      <c r="B15" s="133"/>
      <c r="C15" s="1"/>
      <c r="D15" s="1"/>
      <c r="E15" s="1"/>
      <c r="G15" s="6" t="s">
        <v>32</v>
      </c>
      <c r="H15" s="86"/>
      <c r="I15" s="87"/>
      <c r="J15" s="88"/>
      <c r="K15" s="1"/>
      <c r="L15" s="217">
        <f>IF(J9="",1,0)</f>
        <v>1</v>
      </c>
      <c r="M15" s="214" t="s">
        <v>124</v>
      </c>
    </row>
    <row r="16" spans="1:25" x14ac:dyDescent="0.2">
      <c r="A16" s="72" t="s">
        <v>195</v>
      </c>
      <c r="B16" s="1"/>
      <c r="D16" s="134"/>
      <c r="E16" s="1"/>
      <c r="G16" s="93" t="s">
        <v>56</v>
      </c>
      <c r="H16" s="86"/>
      <c r="I16" s="89"/>
      <c r="J16" s="90"/>
      <c r="K16" s="3"/>
      <c r="L16" s="217">
        <f>IF(J10="",1,0)</f>
        <v>1</v>
      </c>
      <c r="M16" s="214" t="s">
        <v>121</v>
      </c>
    </row>
    <row r="17" spans="1:13" x14ac:dyDescent="0.2">
      <c r="A17" s="196" t="s">
        <v>193</v>
      </c>
      <c r="B17" s="243"/>
      <c r="C17" s="244"/>
      <c r="D17" s="244"/>
      <c r="E17" s="245"/>
      <c r="G17" s="223" t="s">
        <v>260</v>
      </c>
      <c r="H17" s="224"/>
      <c r="I17" s="222" t="s">
        <v>259</v>
      </c>
      <c r="L17" s="217">
        <f>IF(B14="",1,0)</f>
        <v>1</v>
      </c>
      <c r="M17" s="214" t="s">
        <v>125</v>
      </c>
    </row>
    <row r="18" spans="1:13" s="124" customFormat="1" ht="14.5" customHeight="1" x14ac:dyDescent="0.2">
      <c r="A18" s="196" t="s">
        <v>194</v>
      </c>
      <c r="B18" s="243"/>
      <c r="C18" s="245"/>
      <c r="D18"/>
      <c r="E18"/>
      <c r="G18" s="123" t="s">
        <v>215</v>
      </c>
      <c r="H18" s="123"/>
      <c r="I18" s="123"/>
      <c r="J18"/>
      <c r="K18"/>
      <c r="L18" s="217">
        <f>IF(B15="",1,0)</f>
        <v>1</v>
      </c>
      <c r="M18" s="214" t="s">
        <v>126</v>
      </c>
    </row>
    <row r="19" spans="1:13" x14ac:dyDescent="0.2">
      <c r="A19" s="50" t="s">
        <v>199</v>
      </c>
      <c r="G19" s="122" t="s">
        <v>76</v>
      </c>
      <c r="H19" s="120" t="s">
        <v>75</v>
      </c>
      <c r="I19" s="120" t="s">
        <v>55</v>
      </c>
      <c r="L19" s="217">
        <f>IF(B17="",1,0)</f>
        <v>1</v>
      </c>
      <c r="M19" s="214" t="s">
        <v>196</v>
      </c>
    </row>
    <row r="20" spans="1:13" x14ac:dyDescent="0.2">
      <c r="A20" s="95" t="s">
        <v>224</v>
      </c>
      <c r="B20" s="78"/>
      <c r="C20" s="222" t="s">
        <v>254</v>
      </c>
      <c r="G20" s="6" t="s">
        <v>33</v>
      </c>
      <c r="H20" s="86"/>
      <c r="I20" s="86"/>
      <c r="L20" s="217">
        <f>IF(B18="",1,0)</f>
        <v>1</v>
      </c>
      <c r="M20" s="214" t="s">
        <v>197</v>
      </c>
    </row>
    <row r="21" spans="1:13" x14ac:dyDescent="0.2">
      <c r="A21" s="95" t="s">
        <v>11</v>
      </c>
      <c r="B21" s="78"/>
      <c r="C21" s="222" t="s">
        <v>254</v>
      </c>
      <c r="G21" s="6" t="s">
        <v>40</v>
      </c>
      <c r="H21" s="86"/>
      <c r="I21" s="86"/>
      <c r="J21" s="123"/>
      <c r="L21" s="217">
        <f>IF(B20="",1,0)</f>
        <v>1</v>
      </c>
      <c r="M21" s="214" t="s">
        <v>146</v>
      </c>
    </row>
    <row r="22" spans="1:13" x14ac:dyDescent="0.2">
      <c r="A22" s="125" t="s">
        <v>217</v>
      </c>
      <c r="B22" s="161"/>
      <c r="G22" s="6" t="s">
        <v>32</v>
      </c>
      <c r="H22" s="86"/>
      <c r="I22" s="86"/>
      <c r="J22" s="91"/>
      <c r="K22" s="124"/>
      <c r="L22" s="217">
        <f>IF(B21="",1,0)</f>
        <v>1</v>
      </c>
      <c r="M22" s="214" t="s">
        <v>145</v>
      </c>
    </row>
    <row r="23" spans="1:13" x14ac:dyDescent="0.2">
      <c r="A23" s="95" t="s">
        <v>165</v>
      </c>
      <c r="B23" s="78"/>
      <c r="C23" s="222" t="s">
        <v>254</v>
      </c>
      <c r="G23" s="93" t="s">
        <v>56</v>
      </c>
      <c r="H23" s="86"/>
      <c r="I23" s="128"/>
      <c r="J23" s="207"/>
      <c r="L23" s="217">
        <f>IF(B22="",1,0)</f>
        <v>1</v>
      </c>
      <c r="M23" s="214" t="s">
        <v>147</v>
      </c>
    </row>
    <row r="24" spans="1:13" ht="16" thickBot="1" x14ac:dyDescent="0.25">
      <c r="G24" s="72" t="s">
        <v>79</v>
      </c>
      <c r="H24" s="1"/>
      <c r="L24" s="217">
        <f>IF(B23="",1,0)</f>
        <v>1</v>
      </c>
      <c r="M24" s="214" t="s">
        <v>148</v>
      </c>
    </row>
    <row r="25" spans="1:13" x14ac:dyDescent="0.2">
      <c r="H25" s="71" t="s">
        <v>77</v>
      </c>
      <c r="I25" s="158" t="str">
        <f>DWHR_calcs!B13</f>
        <v>errors</v>
      </c>
      <c r="L25" s="217">
        <f>IF(H13="",1,0)</f>
        <v>1</v>
      </c>
      <c r="M25" s="214" t="s">
        <v>127</v>
      </c>
    </row>
    <row r="26" spans="1:13" ht="16" thickBot="1" x14ac:dyDescent="0.25">
      <c r="H26" s="126" t="s">
        <v>117</v>
      </c>
      <c r="I26" s="159" t="str">
        <f>DWHR_calcs!B14</f>
        <v>errors</v>
      </c>
      <c r="J26" s="92"/>
      <c r="L26" s="217">
        <f>IF(H14="",1,0)</f>
        <v>1</v>
      </c>
      <c r="M26" s="214" t="s">
        <v>128</v>
      </c>
    </row>
    <row r="27" spans="1:13" ht="16" thickBot="1" x14ac:dyDescent="0.25">
      <c r="C27" s="1"/>
      <c r="D27" s="1"/>
      <c r="E27" s="1"/>
      <c r="H27" s="71" t="s">
        <v>78</v>
      </c>
      <c r="I27" s="218" t="str">
        <f>DWHR_calcs!B15</f>
        <v>errors</v>
      </c>
      <c r="J27" s="124"/>
      <c r="L27" s="217">
        <f>IF(H15="",1,0)</f>
        <v>1</v>
      </c>
      <c r="M27" s="214" t="s">
        <v>137</v>
      </c>
    </row>
    <row r="28" spans="1:13" x14ac:dyDescent="0.2">
      <c r="C28" s="1"/>
      <c r="D28" s="1"/>
      <c r="E28" s="1"/>
      <c r="L28" s="217">
        <f>IF(H16="",1,0)</f>
        <v>1</v>
      </c>
      <c r="M28" s="214" t="s">
        <v>129</v>
      </c>
    </row>
    <row r="29" spans="1:13" x14ac:dyDescent="0.2">
      <c r="C29" s="1"/>
      <c r="D29" s="1"/>
      <c r="E29" s="1"/>
      <c r="L29" s="217">
        <f>IF(I13="",1,0)</f>
        <v>1</v>
      </c>
      <c r="M29" s="215" t="s">
        <v>143</v>
      </c>
    </row>
    <row r="30" spans="1:13" x14ac:dyDescent="0.2">
      <c r="L30" s="217">
        <f>IF(I14="",1,0)</f>
        <v>1</v>
      </c>
      <c r="M30" s="215" t="s">
        <v>142</v>
      </c>
    </row>
    <row r="31" spans="1:13" x14ac:dyDescent="0.2">
      <c r="L31" s="217">
        <f>IF(I15="",1,0)</f>
        <v>1</v>
      </c>
      <c r="M31" s="215" t="s">
        <v>144</v>
      </c>
    </row>
    <row r="32" spans="1:13" x14ac:dyDescent="0.2">
      <c r="L32" s="217">
        <f>IF(J13="",1,0)</f>
        <v>1</v>
      </c>
      <c r="M32" s="215" t="s">
        <v>130</v>
      </c>
    </row>
    <row r="33" spans="12:13" x14ac:dyDescent="0.2">
      <c r="L33" s="217">
        <f>IF(J14="",1,0)</f>
        <v>1</v>
      </c>
      <c r="M33" s="215" t="s">
        <v>131</v>
      </c>
    </row>
    <row r="34" spans="12:13" x14ac:dyDescent="0.2">
      <c r="L34" s="217">
        <f>IF(J15="",1,0)</f>
        <v>1</v>
      </c>
      <c r="M34" s="215" t="s">
        <v>132</v>
      </c>
    </row>
    <row r="35" spans="12:13" x14ac:dyDescent="0.2">
      <c r="L35" s="217">
        <f>IF(H20="",1,0)</f>
        <v>1</v>
      </c>
      <c r="M35" s="214" t="s">
        <v>133</v>
      </c>
    </row>
    <row r="36" spans="12:13" x14ac:dyDescent="0.2">
      <c r="L36" s="217">
        <f>IF(H21="",1,0)</f>
        <v>1</v>
      </c>
      <c r="M36" s="214" t="s">
        <v>134</v>
      </c>
    </row>
    <row r="37" spans="12:13" x14ac:dyDescent="0.2">
      <c r="L37" s="217">
        <f>IF(H22="",1,0)</f>
        <v>1</v>
      </c>
      <c r="M37" s="214" t="s">
        <v>136</v>
      </c>
    </row>
    <row r="38" spans="12:13" x14ac:dyDescent="0.2">
      <c r="L38" s="217">
        <f>IF(H23="",1,0)</f>
        <v>1</v>
      </c>
      <c r="M38" s="214" t="s">
        <v>135</v>
      </c>
    </row>
    <row r="39" spans="12:13" x14ac:dyDescent="0.2">
      <c r="L39" s="217">
        <f>IF(I20="",1,0)</f>
        <v>1</v>
      </c>
      <c r="M39" s="214" t="s">
        <v>138</v>
      </c>
    </row>
    <row r="40" spans="12:13" x14ac:dyDescent="0.2">
      <c r="L40" s="217">
        <f>IF(I21="",1,0)</f>
        <v>1</v>
      </c>
      <c r="M40" s="214" t="s">
        <v>139</v>
      </c>
    </row>
    <row r="41" spans="12:13" x14ac:dyDescent="0.2">
      <c r="L41" s="217">
        <f>IF(I22="",1,0)</f>
        <v>1</v>
      </c>
      <c r="M41" s="214" t="s">
        <v>140</v>
      </c>
    </row>
    <row r="42" spans="12:13" ht="16" x14ac:dyDescent="0.2">
      <c r="L42" s="217">
        <f>SUM(L3:L41)</f>
        <v>39</v>
      </c>
      <c r="M42" s="216" t="s">
        <v>141</v>
      </c>
    </row>
  </sheetData>
  <sheetProtection algorithmName="SHA-512" hashValue="MnAZsJbIWlD0wM9bUmxFtiIZjdF9gNvJPS/Hz1OhvOs142FvLKC07P4vGCrqbYbefGTbf8zwrEqIkZqSoCKhTA==" saltValue="OdO52EdOn9JTLaAa56Fcpw==" spinCount="100000" sheet="1" objects="1" scenarios="1"/>
  <mergeCells count="14">
    <mergeCell ref="A1:J1"/>
    <mergeCell ref="B2:G2"/>
    <mergeCell ref="B17:E17"/>
    <mergeCell ref="B18:C18"/>
    <mergeCell ref="B10:D10"/>
    <mergeCell ref="B11:C11"/>
    <mergeCell ref="B14:E14"/>
    <mergeCell ref="B4:D4"/>
    <mergeCell ref="B5:C5"/>
    <mergeCell ref="B6:E6"/>
    <mergeCell ref="B7:C7"/>
    <mergeCell ref="B9:E9"/>
    <mergeCell ref="H4:J4"/>
    <mergeCell ref="H5:I5"/>
  </mergeCells>
  <dataValidations count="5">
    <dataValidation type="list" allowBlank="1" showInputMessage="1" showErrorMessage="1" sqref="B21" xr:uid="{00000000-0002-0000-0100-000000000000}">
      <formula1>"yes,no"</formula1>
    </dataValidation>
    <dataValidation type="list" allowBlank="1" showInputMessage="1" showErrorMessage="1" sqref="B20" xr:uid="{00000000-0002-0000-0100-000001000000}">
      <formula1>"all,one"</formula1>
    </dataValidation>
    <dataValidation type="list" allowBlank="1" showInputMessage="1" showErrorMessage="1" sqref="B23" xr:uid="{00000000-0002-0000-0100-000002000000}">
      <formula1>"standard,low-flow"</formula1>
    </dataValidation>
    <dataValidation type="list" allowBlank="1" showInputMessage="1" showErrorMessage="1" sqref="J10" xr:uid="{00000000-0002-0000-0100-000003000000}">
      <formula1>"No,Yes"</formula1>
    </dataValidation>
    <dataValidation type="list" allowBlank="1" showInputMessage="1" showErrorMessage="1" sqref="I13:I15" xr:uid="{00000000-0002-0000-0100-000004000000}">
      <formula1>"elec,gas"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M66"/>
  <sheetViews>
    <sheetView showGridLines="0" zoomScaleNormal="100" workbookViewId="0"/>
  </sheetViews>
  <sheetFormatPr baseColWidth="10" defaultColWidth="8.6640625" defaultRowHeight="16" x14ac:dyDescent="0.2"/>
  <cols>
    <col min="1" max="2" width="2.5" style="137" customWidth="1"/>
    <col min="3" max="24" width="3.5" style="137" customWidth="1"/>
    <col min="25" max="25" width="2.5" style="137" customWidth="1"/>
    <col min="26" max="26" width="2.5" style="142" customWidth="1"/>
    <col min="27" max="28" width="3.5" style="139" customWidth="1"/>
    <col min="29" max="29" width="3.5" style="143" customWidth="1"/>
    <col min="30" max="30" width="3.5" style="139" customWidth="1"/>
    <col min="31" max="33" width="3.5" style="143" customWidth="1"/>
    <col min="34" max="34" width="4.5" style="143" customWidth="1"/>
    <col min="35" max="36" width="3.5" style="143" customWidth="1"/>
    <col min="37" max="65" width="3.5" style="137" customWidth="1"/>
    <col min="66" max="16384" width="8.6640625" style="137"/>
  </cols>
  <sheetData>
    <row r="1" spans="1:39" ht="15.5" customHeight="1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39"/>
      <c r="AE1" s="139"/>
      <c r="AF1" s="139"/>
      <c r="AG1" s="139"/>
      <c r="AH1" s="139"/>
    </row>
    <row r="2" spans="1:39" x14ac:dyDescent="0.2">
      <c r="A2" s="143"/>
      <c r="B2" s="144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5"/>
      <c r="Z2" s="139"/>
      <c r="AC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1:39" ht="21" x14ac:dyDescent="0.25">
      <c r="A3" s="143"/>
      <c r="B3" s="146"/>
      <c r="C3" s="139"/>
      <c r="D3" s="139"/>
      <c r="E3" s="139"/>
      <c r="F3" s="259" t="s">
        <v>169</v>
      </c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1"/>
      <c r="V3" s="139"/>
      <c r="W3" s="139"/>
      <c r="X3" s="139"/>
      <c r="Y3" s="147"/>
      <c r="Z3" s="139"/>
      <c r="AC3" s="139"/>
      <c r="AE3" s="139"/>
      <c r="AF3" s="139"/>
      <c r="AG3" s="139"/>
      <c r="AH3" s="139"/>
      <c r="AI3" s="139"/>
      <c r="AJ3" s="139"/>
      <c r="AK3" s="139"/>
      <c r="AL3" s="139"/>
      <c r="AM3" s="139"/>
    </row>
    <row r="4" spans="1:39" x14ac:dyDescent="0.2">
      <c r="A4" s="143"/>
      <c r="B4" s="146"/>
      <c r="C4" s="139"/>
      <c r="D4" s="139"/>
      <c r="E4" s="139"/>
      <c r="F4" s="139"/>
      <c r="G4" s="139"/>
      <c r="H4" s="139"/>
      <c r="I4" s="148" t="str">
        <f>IF('Input Sheet'!L42&gt;0,"  Input sheet is missing required data","")</f>
        <v xml:space="preserve">  Input sheet is missing required data</v>
      </c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7"/>
      <c r="Z4" s="139"/>
      <c r="AC4" s="139"/>
      <c r="AE4" s="139"/>
      <c r="AF4" s="139"/>
      <c r="AG4" s="139"/>
      <c r="AH4" s="139"/>
      <c r="AI4" s="139"/>
      <c r="AJ4" s="139"/>
      <c r="AK4" s="139"/>
      <c r="AL4" s="139"/>
      <c r="AM4" s="139"/>
    </row>
    <row r="5" spans="1:39" x14ac:dyDescent="0.2">
      <c r="A5" s="143"/>
      <c r="B5" s="146"/>
      <c r="C5" s="139"/>
      <c r="D5" s="139"/>
      <c r="E5" s="139"/>
      <c r="F5" s="139"/>
      <c r="G5" s="139"/>
      <c r="H5" s="139"/>
      <c r="I5" s="148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47"/>
      <c r="Z5" s="139"/>
      <c r="AC5" s="139"/>
      <c r="AE5" s="139"/>
      <c r="AF5" s="139"/>
      <c r="AG5" s="139"/>
      <c r="AH5" s="139"/>
      <c r="AI5" s="139"/>
      <c r="AJ5" s="139"/>
      <c r="AK5" s="139"/>
      <c r="AL5" s="139"/>
      <c r="AM5" s="139"/>
    </row>
    <row r="6" spans="1:39" x14ac:dyDescent="0.2">
      <c r="A6" s="143"/>
      <c r="B6" s="146"/>
      <c r="C6" s="149" t="s">
        <v>158</v>
      </c>
      <c r="D6" s="149"/>
      <c r="E6" s="149"/>
      <c r="F6" s="149"/>
      <c r="G6" s="149"/>
      <c r="H6" s="139"/>
      <c r="I6" s="139"/>
      <c r="J6" s="139"/>
      <c r="K6" s="139"/>
      <c r="L6" s="139"/>
      <c r="M6" s="139"/>
      <c r="N6" s="149" t="s">
        <v>157</v>
      </c>
      <c r="O6" s="149"/>
      <c r="P6" s="149"/>
      <c r="Q6" s="149"/>
      <c r="R6" s="139"/>
      <c r="S6" s="139"/>
      <c r="T6" s="139"/>
      <c r="U6" s="139"/>
      <c r="V6" s="139"/>
      <c r="W6" s="139"/>
      <c r="X6" s="139"/>
      <c r="Y6" s="147"/>
      <c r="Z6" s="139"/>
      <c r="AC6" s="139"/>
      <c r="AE6" s="139"/>
      <c r="AF6" s="139"/>
      <c r="AG6" s="139"/>
      <c r="AH6" s="139"/>
      <c r="AI6" s="139"/>
      <c r="AJ6" s="139"/>
      <c r="AK6" s="139"/>
      <c r="AL6" s="139"/>
      <c r="AM6" s="139"/>
    </row>
    <row r="7" spans="1:39" x14ac:dyDescent="0.2">
      <c r="A7" s="143"/>
      <c r="B7" s="146"/>
      <c r="C7" s="139"/>
      <c r="D7" s="138">
        <f>'Input Sheet'!B9</f>
        <v>0</v>
      </c>
      <c r="E7" s="138"/>
      <c r="F7" s="138"/>
      <c r="G7" s="138"/>
      <c r="H7" s="138"/>
      <c r="I7" s="138"/>
      <c r="J7" s="138"/>
      <c r="K7" s="138"/>
      <c r="L7" s="138"/>
      <c r="M7" s="139"/>
      <c r="N7" s="139"/>
      <c r="O7" s="139">
        <f>'Input Sheet'!B14</f>
        <v>0</v>
      </c>
      <c r="P7" s="139"/>
      <c r="Q7" s="139"/>
      <c r="R7" s="139"/>
      <c r="S7" s="139"/>
      <c r="T7" s="139"/>
      <c r="U7" s="139"/>
      <c r="V7" s="139"/>
      <c r="W7" s="139"/>
      <c r="X7" s="139"/>
      <c r="Y7" s="147"/>
      <c r="Z7" s="139"/>
      <c r="AC7" s="139"/>
      <c r="AE7" s="139"/>
      <c r="AF7" s="139"/>
      <c r="AG7" s="139"/>
      <c r="AH7" s="139"/>
      <c r="AI7" s="139"/>
      <c r="AJ7" s="139"/>
      <c r="AK7" s="139"/>
      <c r="AL7" s="139"/>
      <c r="AM7" s="139"/>
    </row>
    <row r="8" spans="1:39" x14ac:dyDescent="0.2">
      <c r="A8" s="143"/>
      <c r="B8" s="146"/>
      <c r="C8" s="139"/>
      <c r="D8" s="139" t="str">
        <f>CONCATENATE('Input Sheet'!B10,", ",'Input Sheet'!B11)</f>
        <v xml:space="preserve">, </v>
      </c>
      <c r="E8" s="139"/>
      <c r="F8" s="139"/>
      <c r="G8" s="139"/>
      <c r="H8" s="139"/>
      <c r="I8" s="139"/>
      <c r="J8" s="139"/>
      <c r="K8" s="139"/>
      <c r="L8" s="139"/>
      <c r="M8" s="139"/>
      <c r="N8" s="149" t="s">
        <v>235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39"/>
      <c r="AC8" s="139"/>
      <c r="AE8" s="139"/>
      <c r="AF8" s="139"/>
      <c r="AG8" s="139"/>
      <c r="AH8" s="139"/>
      <c r="AI8" s="139"/>
      <c r="AJ8" s="139"/>
      <c r="AK8" s="139"/>
      <c r="AL8" s="139"/>
      <c r="AM8" s="139"/>
    </row>
    <row r="9" spans="1:39" ht="15.5" customHeight="1" x14ac:dyDescent="0.2">
      <c r="A9" s="143"/>
      <c r="B9" s="146"/>
      <c r="C9" s="139"/>
      <c r="D9" s="140" t="str">
        <f>CONCATENATE('Input Sheet'!B12)</f>
        <v/>
      </c>
      <c r="E9" s="140"/>
      <c r="F9" s="140"/>
      <c r="G9" s="140"/>
      <c r="H9" s="140"/>
      <c r="I9" s="140"/>
      <c r="J9" s="140"/>
      <c r="K9" s="140"/>
      <c r="L9" s="140"/>
      <c r="M9" s="139"/>
      <c r="N9" s="139"/>
      <c r="O9" s="140" t="str">
        <f>CONCATENATE(Tavg," F")</f>
        <v xml:space="preserve"> F</v>
      </c>
      <c r="P9" s="154"/>
      <c r="Q9" s="139"/>
      <c r="R9" s="139"/>
      <c r="S9" s="139"/>
      <c r="T9" s="139"/>
      <c r="U9" s="139"/>
      <c r="V9" s="139"/>
      <c r="W9" s="139"/>
      <c r="X9" s="139"/>
      <c r="Y9" s="147"/>
      <c r="Z9" s="139"/>
      <c r="AC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x14ac:dyDescent="0.2">
      <c r="A10" s="143"/>
      <c r="B10" s="146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47"/>
      <c r="Z10" s="139"/>
      <c r="AC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x14ac:dyDescent="0.2">
      <c r="A11" s="143"/>
      <c r="B11" s="146"/>
      <c r="C11" s="199" t="s">
        <v>190</v>
      </c>
      <c r="D11" s="199"/>
      <c r="E11" s="199"/>
      <c r="F11" s="199"/>
      <c r="N11" s="199" t="s">
        <v>202</v>
      </c>
      <c r="W11" s="139"/>
      <c r="X11" s="139"/>
      <c r="Y11" s="147"/>
      <c r="Z11" s="139"/>
      <c r="AC11" s="139"/>
      <c r="AE11" s="139"/>
      <c r="AF11" s="139"/>
      <c r="AG11" s="139"/>
      <c r="AH11" s="139"/>
      <c r="AI11" s="139"/>
      <c r="AJ11" s="139"/>
      <c r="AK11" s="139"/>
      <c r="AL11" s="139"/>
      <c r="AM11" s="139"/>
    </row>
    <row r="12" spans="1:39" x14ac:dyDescent="0.2">
      <c r="A12" s="143"/>
      <c r="B12" s="146"/>
      <c r="D12" s="137" t="s">
        <v>192</v>
      </c>
      <c r="F12" s="262">
        <f>'Input Sheet'!B4</f>
        <v>0</v>
      </c>
      <c r="G12" s="262"/>
      <c r="H12" s="262"/>
      <c r="I12" s="262"/>
      <c r="J12" s="262"/>
      <c r="K12" s="262"/>
      <c r="O12" s="137" t="s">
        <v>192</v>
      </c>
      <c r="Q12" s="262">
        <f>'Input Sheet'!B6</f>
        <v>0</v>
      </c>
      <c r="R12" s="262"/>
      <c r="S12" s="262"/>
      <c r="T12" s="262"/>
      <c r="U12" s="262"/>
      <c r="V12" s="262"/>
      <c r="W12" s="262"/>
      <c r="X12" s="139"/>
      <c r="Y12" s="147"/>
      <c r="Z12" s="139"/>
      <c r="AC12" s="139"/>
      <c r="AE12" s="139"/>
      <c r="AF12" s="139"/>
      <c r="AG12" s="139"/>
      <c r="AH12" s="139"/>
      <c r="AI12" s="139"/>
      <c r="AJ12" s="139"/>
      <c r="AK12" s="139"/>
      <c r="AL12" s="139"/>
      <c r="AM12" s="139"/>
    </row>
    <row r="13" spans="1:39" x14ac:dyDescent="0.2">
      <c r="A13" s="143"/>
      <c r="B13" s="146"/>
      <c r="D13" s="137" t="s">
        <v>191</v>
      </c>
      <c r="F13" s="262">
        <f>'Input Sheet'!B5</f>
        <v>0</v>
      </c>
      <c r="G13" s="262"/>
      <c r="H13" s="262"/>
      <c r="I13" s="262"/>
      <c r="J13" s="262"/>
      <c r="O13" s="137" t="s">
        <v>191</v>
      </c>
      <c r="Q13" s="137">
        <f>'Input Sheet'!B7</f>
        <v>0</v>
      </c>
      <c r="W13" s="155"/>
      <c r="X13" s="139"/>
      <c r="Y13" s="147"/>
      <c r="Z13" s="139"/>
      <c r="AC13" s="139"/>
      <c r="AE13" s="139"/>
      <c r="AF13" s="139"/>
      <c r="AG13" s="139"/>
      <c r="AH13" s="139"/>
      <c r="AI13" s="139"/>
      <c r="AJ13" s="139"/>
      <c r="AK13" s="139"/>
      <c r="AL13" s="139"/>
      <c r="AM13" s="139"/>
    </row>
    <row r="14" spans="1:39" x14ac:dyDescent="0.2">
      <c r="A14" s="143"/>
      <c r="B14" s="146"/>
      <c r="W14" s="156"/>
      <c r="X14" s="139"/>
      <c r="Y14" s="147"/>
      <c r="Z14" s="139"/>
      <c r="AC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1:39" x14ac:dyDescent="0.2">
      <c r="A15" s="143"/>
      <c r="B15" s="146"/>
      <c r="C15" s="199" t="s">
        <v>195</v>
      </c>
      <c r="N15" s="199" t="s">
        <v>237</v>
      </c>
      <c r="W15" s="155"/>
      <c r="X15" s="139"/>
      <c r="Y15" s="147"/>
      <c r="Z15" s="139"/>
      <c r="AC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39" x14ac:dyDescent="0.2">
      <c r="A16" s="143"/>
      <c r="B16" s="146"/>
      <c r="D16" s="137" t="s">
        <v>198</v>
      </c>
      <c r="H16" s="262">
        <f>'Input Sheet'!B17</f>
        <v>0</v>
      </c>
      <c r="I16" s="262"/>
      <c r="J16" s="262"/>
      <c r="K16" s="262"/>
      <c r="L16" s="262"/>
      <c r="M16" s="262"/>
      <c r="N16" s="198"/>
      <c r="O16" s="137" t="s">
        <v>192</v>
      </c>
      <c r="P16" s="198"/>
      <c r="R16" s="262">
        <f>'Input Sheet'!H4</f>
        <v>0</v>
      </c>
      <c r="S16" s="262"/>
      <c r="T16" s="262"/>
      <c r="U16" s="262"/>
      <c r="V16" s="262"/>
      <c r="W16" s="262"/>
      <c r="X16" s="139"/>
      <c r="Y16" s="147"/>
      <c r="Z16" s="139"/>
      <c r="AC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1:39" x14ac:dyDescent="0.2">
      <c r="A17" s="143"/>
      <c r="B17" s="146"/>
      <c r="D17" s="137" t="s">
        <v>201</v>
      </c>
      <c r="H17" s="262">
        <f>'Input Sheet'!B18</f>
        <v>0</v>
      </c>
      <c r="I17" s="262"/>
      <c r="J17" s="262"/>
      <c r="K17" s="262"/>
      <c r="L17" s="198"/>
      <c r="O17" s="137" t="s">
        <v>242</v>
      </c>
      <c r="R17" s="264">
        <f>'Input Sheet'!H5</f>
        <v>0</v>
      </c>
      <c r="S17" s="264"/>
      <c r="T17" s="264"/>
      <c r="U17" s="264"/>
      <c r="Y17" s="147"/>
      <c r="Z17" s="139"/>
      <c r="AC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39" x14ac:dyDescent="0.2">
      <c r="A18" s="143"/>
      <c r="B18" s="146"/>
      <c r="Y18" s="147"/>
      <c r="Z18" s="139"/>
      <c r="AC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1:39" x14ac:dyDescent="0.2">
      <c r="A19" s="143"/>
      <c r="B19" s="146"/>
      <c r="C19" s="149" t="s">
        <v>199</v>
      </c>
      <c r="D19" s="139"/>
      <c r="E19" s="139"/>
      <c r="F19" s="139"/>
      <c r="G19" s="139"/>
      <c r="H19" s="139"/>
      <c r="I19" s="139"/>
      <c r="J19" s="139"/>
      <c r="K19" s="139"/>
      <c r="M19" s="139"/>
      <c r="N19" s="149" t="s">
        <v>163</v>
      </c>
      <c r="O19" s="139"/>
      <c r="P19" s="139"/>
      <c r="Q19" s="139"/>
      <c r="R19" s="139"/>
      <c r="S19" s="139"/>
      <c r="T19" s="139"/>
      <c r="U19" s="139"/>
      <c r="V19" s="139"/>
      <c r="W19" s="139"/>
      <c r="Y19" s="147"/>
      <c r="Z19" s="139"/>
      <c r="AM19" s="139"/>
    </row>
    <row r="20" spans="1:39" x14ac:dyDescent="0.2">
      <c r="A20" s="143"/>
      <c r="B20" s="146"/>
      <c r="C20" s="139"/>
      <c r="D20" s="139" t="s">
        <v>224</v>
      </c>
      <c r="E20" s="139"/>
      <c r="F20" s="139"/>
      <c r="G20" s="139"/>
      <c r="H20" s="139"/>
      <c r="J20" s="209"/>
      <c r="K20" s="209">
        <f>'Input Sheet'!B20</f>
        <v>0</v>
      </c>
      <c r="M20" s="139"/>
      <c r="N20" s="139"/>
      <c r="O20" s="139" t="s">
        <v>159</v>
      </c>
      <c r="P20" s="139"/>
      <c r="Q20" s="139"/>
      <c r="R20" s="139"/>
      <c r="S20" s="139"/>
      <c r="T20" s="139"/>
      <c r="U20" s="139"/>
      <c r="V20" s="258" t="str">
        <f>CONCATENATE(CFA)</f>
        <v/>
      </c>
      <c r="W20" s="258"/>
      <c r="Y20" s="147"/>
      <c r="Z20" s="139"/>
      <c r="AM20" s="139"/>
    </row>
    <row r="21" spans="1:39" x14ac:dyDescent="0.2">
      <c r="A21" s="143"/>
      <c r="B21" s="146"/>
      <c r="C21" s="139"/>
      <c r="D21" s="139" t="s">
        <v>164</v>
      </c>
      <c r="E21" s="139"/>
      <c r="F21" s="139"/>
      <c r="G21" s="139"/>
      <c r="H21" s="139"/>
      <c r="J21" s="258">
        <f>'Input Sheet'!B21</f>
        <v>0</v>
      </c>
      <c r="K21" s="258"/>
      <c r="M21" s="139"/>
      <c r="N21" s="139"/>
      <c r="O21" s="139" t="s">
        <v>160</v>
      </c>
      <c r="P21" s="139"/>
      <c r="Q21" s="139"/>
      <c r="R21" s="139"/>
      <c r="S21" s="139"/>
      <c r="T21" s="139"/>
      <c r="U21" s="139"/>
      <c r="V21" s="257">
        <f>Nbr</f>
        <v>0</v>
      </c>
      <c r="W21" s="257"/>
      <c r="Y21" s="147"/>
      <c r="Z21" s="139"/>
    </row>
    <row r="22" spans="1:39" x14ac:dyDescent="0.2">
      <c r="A22" s="143"/>
      <c r="B22" s="146"/>
      <c r="C22" s="139"/>
      <c r="D22" s="139" t="s">
        <v>218</v>
      </c>
      <c r="E22" s="139"/>
      <c r="F22" s="139"/>
      <c r="G22" s="139"/>
      <c r="H22" s="139"/>
      <c r="J22" s="263">
        <f>'Input Sheet'!B22</f>
        <v>0</v>
      </c>
      <c r="K22" s="263"/>
      <c r="M22" s="139"/>
      <c r="N22" s="139"/>
      <c r="O22" s="139" t="s">
        <v>161</v>
      </c>
      <c r="P22" s="139"/>
      <c r="Q22" s="139"/>
      <c r="R22" s="139"/>
      <c r="S22" s="139"/>
      <c r="T22" s="139"/>
      <c r="U22" s="139"/>
      <c r="V22" s="257">
        <f>Nfl</f>
        <v>0</v>
      </c>
      <c r="W22" s="257"/>
      <c r="Y22" s="147"/>
      <c r="Z22" s="139"/>
    </row>
    <row r="23" spans="1:39" x14ac:dyDescent="0.2">
      <c r="A23" s="143"/>
      <c r="B23" s="146"/>
      <c r="C23" s="197"/>
      <c r="D23" s="197" t="s">
        <v>165</v>
      </c>
      <c r="E23" s="197"/>
      <c r="F23" s="197"/>
      <c r="G23" s="197"/>
      <c r="H23" s="197"/>
      <c r="I23" s="258">
        <f>'Input Sheet'!B23</f>
        <v>0</v>
      </c>
      <c r="J23" s="258"/>
      <c r="K23" s="258"/>
      <c r="M23" s="197"/>
      <c r="N23" s="197"/>
      <c r="O23" s="197" t="s">
        <v>162</v>
      </c>
      <c r="P23" s="197"/>
      <c r="Q23" s="197"/>
      <c r="R23" s="197"/>
      <c r="S23" s="197"/>
      <c r="T23" s="197"/>
      <c r="U23" s="197"/>
      <c r="V23" s="258">
        <f>Bsmt</f>
        <v>0</v>
      </c>
      <c r="W23" s="258"/>
      <c r="Y23" s="147"/>
      <c r="Z23" s="139"/>
    </row>
    <row r="24" spans="1:39" x14ac:dyDescent="0.2">
      <c r="A24" s="143"/>
      <c r="B24" s="146"/>
      <c r="W24" s="139"/>
      <c r="X24" s="139"/>
      <c r="Y24" s="147"/>
      <c r="Z24" s="139"/>
      <c r="AC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1:39" x14ac:dyDescent="0.2">
      <c r="A25" s="143"/>
      <c r="B25" s="146"/>
      <c r="C25" s="149" t="s">
        <v>203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49" t="s">
        <v>204</v>
      </c>
      <c r="O25" s="194"/>
      <c r="P25" s="194"/>
      <c r="Q25" s="194"/>
      <c r="R25" s="193"/>
      <c r="S25" s="193"/>
      <c r="T25" s="194"/>
      <c r="U25" s="195"/>
      <c r="V25" s="195"/>
      <c r="Y25" s="147"/>
      <c r="Z25" s="139"/>
      <c r="AC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1:39" x14ac:dyDescent="0.2">
      <c r="A26" s="143"/>
      <c r="B26" s="146"/>
      <c r="C26" s="160" t="s">
        <v>200</v>
      </c>
      <c r="D26" s="143"/>
      <c r="E26" s="194"/>
      <c r="F26" s="194"/>
      <c r="G26" s="143"/>
      <c r="H26" s="157" t="s">
        <v>171</v>
      </c>
      <c r="I26" s="143"/>
      <c r="J26" s="157" t="s">
        <v>37</v>
      </c>
      <c r="L26" s="194"/>
      <c r="M26" s="194"/>
      <c r="O26" s="160" t="s">
        <v>200</v>
      </c>
      <c r="P26" s="197"/>
      <c r="Q26" s="143"/>
      <c r="R26" s="143"/>
      <c r="S26" s="143"/>
      <c r="T26" s="157" t="s">
        <v>171</v>
      </c>
      <c r="U26" s="197"/>
      <c r="V26" s="197"/>
      <c r="W26" s="157" t="s">
        <v>55</v>
      </c>
      <c r="Y26" s="147"/>
      <c r="Z26" s="139"/>
      <c r="AC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1:39" x14ac:dyDescent="0.2">
      <c r="A27" s="143"/>
      <c r="B27" s="146"/>
      <c r="C27" s="160" t="s">
        <v>172</v>
      </c>
      <c r="D27" s="143"/>
      <c r="E27" s="194"/>
      <c r="F27" s="194"/>
      <c r="G27" s="143"/>
      <c r="H27" s="157" t="s">
        <v>36</v>
      </c>
      <c r="I27" s="143"/>
      <c r="J27" s="157" t="s">
        <v>166</v>
      </c>
      <c r="L27" s="157" t="s">
        <v>38</v>
      </c>
      <c r="O27" s="160" t="s">
        <v>172</v>
      </c>
      <c r="P27" s="143"/>
      <c r="Q27" s="197"/>
      <c r="R27" s="143"/>
      <c r="S27" s="143"/>
      <c r="T27" s="157" t="s">
        <v>36</v>
      </c>
      <c r="U27" s="197"/>
      <c r="V27" s="197"/>
      <c r="W27" s="157" t="s">
        <v>36</v>
      </c>
      <c r="Y27" s="147"/>
      <c r="Z27" s="139"/>
      <c r="AC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1:39" x14ac:dyDescent="0.2">
      <c r="A28" s="143"/>
      <c r="B28" s="146"/>
      <c r="C28" s="194"/>
      <c r="D28" s="194" t="s">
        <v>33</v>
      </c>
      <c r="E28" s="194"/>
      <c r="F28" s="194"/>
      <c r="G28" s="256">
        <f>'Input Sheet'!H13</f>
        <v>0</v>
      </c>
      <c r="H28" s="256"/>
      <c r="I28" s="256">
        <f>'Input Sheet'!I13</f>
        <v>0</v>
      </c>
      <c r="J28" s="256"/>
      <c r="K28" s="254">
        <f>'Input Sheet'!J13</f>
        <v>0</v>
      </c>
      <c r="L28" s="254"/>
      <c r="O28" s="194"/>
      <c r="P28" s="197" t="s">
        <v>33</v>
      </c>
      <c r="Q28" s="197"/>
      <c r="R28" s="197"/>
      <c r="S28" s="254">
        <f>'Input Sheet'!H20</f>
        <v>0</v>
      </c>
      <c r="T28" s="254"/>
      <c r="U28" s="197"/>
      <c r="V28" s="254">
        <f>'Input Sheet'!I20</f>
        <v>0</v>
      </c>
      <c r="W28" s="254"/>
      <c r="Y28" s="147"/>
      <c r="Z28" s="139"/>
      <c r="AC28" s="139"/>
      <c r="AE28" s="139"/>
      <c r="AF28" s="139"/>
      <c r="AG28" s="139"/>
      <c r="AH28" s="139"/>
      <c r="AI28" s="139"/>
      <c r="AJ28" s="139"/>
      <c r="AK28" s="139"/>
      <c r="AL28" s="139"/>
      <c r="AM28" s="139"/>
    </row>
    <row r="29" spans="1:39" x14ac:dyDescent="0.2">
      <c r="A29" s="143"/>
      <c r="B29" s="146"/>
      <c r="C29" s="197"/>
      <c r="D29" s="197" t="s">
        <v>34</v>
      </c>
      <c r="E29" s="197"/>
      <c r="F29" s="197"/>
      <c r="G29" s="254">
        <f>'Input Sheet'!H14</f>
        <v>0</v>
      </c>
      <c r="H29" s="254"/>
      <c r="I29" s="256">
        <f>'Input Sheet'!I14</f>
        <v>0</v>
      </c>
      <c r="J29" s="256"/>
      <c r="K29" s="266">
        <f>'Input Sheet'!J14</f>
        <v>0</v>
      </c>
      <c r="L29" s="266"/>
      <c r="M29" s="198"/>
      <c r="O29" s="197"/>
      <c r="P29" s="197" t="s">
        <v>34</v>
      </c>
      <c r="Q29" s="197"/>
      <c r="R29" s="197"/>
      <c r="S29" s="254">
        <f>'Input Sheet'!H21</f>
        <v>0</v>
      </c>
      <c r="T29" s="254"/>
      <c r="U29" s="197"/>
      <c r="V29" s="254">
        <f>'Input Sheet'!I21</f>
        <v>0</v>
      </c>
      <c r="W29" s="254"/>
      <c r="Y29" s="147"/>
      <c r="Z29" s="139"/>
    </row>
    <row r="30" spans="1:39" x14ac:dyDescent="0.2">
      <c r="A30" s="143"/>
      <c r="B30" s="146"/>
      <c r="C30" s="197"/>
      <c r="D30" s="197" t="s">
        <v>32</v>
      </c>
      <c r="E30" s="197"/>
      <c r="F30" s="197"/>
      <c r="G30" s="254">
        <f>'Input Sheet'!H15</f>
        <v>0</v>
      </c>
      <c r="H30" s="254"/>
      <c r="I30" s="256">
        <f>'Input Sheet'!I15</f>
        <v>0</v>
      </c>
      <c r="J30" s="256"/>
      <c r="K30" s="257">
        <f>RateEF</f>
        <v>0</v>
      </c>
      <c r="L30" s="257"/>
      <c r="M30" s="198"/>
      <c r="O30" s="197"/>
      <c r="P30" s="197" t="s">
        <v>32</v>
      </c>
      <c r="Q30" s="197"/>
      <c r="R30" s="197"/>
      <c r="S30" s="254">
        <f>'Input Sheet'!H22</f>
        <v>0</v>
      </c>
      <c r="T30" s="254"/>
      <c r="U30" s="197"/>
      <c r="V30" s="255">
        <f>'Input Sheet'!I22</f>
        <v>0</v>
      </c>
      <c r="W30" s="255"/>
      <c r="Y30" s="147"/>
      <c r="Z30" s="139"/>
    </row>
    <row r="31" spans="1:39" x14ac:dyDescent="0.2">
      <c r="A31" s="143"/>
      <c r="B31" s="146"/>
      <c r="C31" s="197"/>
      <c r="D31" s="197" t="s">
        <v>56</v>
      </c>
      <c r="E31" s="197"/>
      <c r="F31" s="197"/>
      <c r="G31" s="254">
        <f>'Input Sheet'!H16</f>
        <v>0</v>
      </c>
      <c r="H31" s="254"/>
      <c r="I31" s="258" t="s">
        <v>80</v>
      </c>
      <c r="J31" s="258"/>
      <c r="K31" s="258" t="s">
        <v>80</v>
      </c>
      <c r="L31" s="258"/>
      <c r="M31" s="198"/>
      <c r="O31" s="197"/>
      <c r="P31" s="197" t="s">
        <v>56</v>
      </c>
      <c r="Q31" s="197"/>
      <c r="R31" s="197"/>
      <c r="S31" s="254">
        <f>'Input Sheet'!H23</f>
        <v>0</v>
      </c>
      <c r="T31" s="254"/>
      <c r="U31" s="197"/>
      <c r="V31" s="256">
        <f>'Input Sheet'!H23</f>
        <v>0</v>
      </c>
      <c r="W31" s="256"/>
      <c r="Y31" s="147"/>
      <c r="Z31" s="139"/>
    </row>
    <row r="32" spans="1:39" x14ac:dyDescent="0.2">
      <c r="A32" s="143"/>
      <c r="B32" s="146"/>
      <c r="D32" s="233" t="s">
        <v>260</v>
      </c>
      <c r="G32" s="252">
        <f>'Input Sheet'!H17</f>
        <v>0</v>
      </c>
      <c r="H32" s="253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47"/>
      <c r="Z32" s="139"/>
      <c r="AC32" s="139"/>
      <c r="AE32" s="139"/>
      <c r="AF32" s="139"/>
      <c r="AG32" s="139"/>
      <c r="AH32" s="139"/>
      <c r="AI32" s="139"/>
      <c r="AJ32" s="139"/>
      <c r="AK32" s="139"/>
      <c r="AL32" s="139"/>
      <c r="AM32" s="139"/>
    </row>
    <row r="33" spans="1:39" s="231" customFormat="1" x14ac:dyDescent="0.2">
      <c r="A33" s="143"/>
      <c r="B33" s="146"/>
      <c r="D33" s="233"/>
      <c r="G33" s="234"/>
      <c r="H33" s="232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147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</row>
    <row r="34" spans="1:39" x14ac:dyDescent="0.2">
      <c r="A34" s="143"/>
      <c r="B34" s="146"/>
      <c r="C34" s="199" t="s">
        <v>216</v>
      </c>
      <c r="L34" s="139"/>
      <c r="N34" s="149" t="s">
        <v>205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47"/>
      <c r="Z34" s="139"/>
      <c r="AC34" s="139"/>
      <c r="AE34" s="139"/>
      <c r="AF34" s="139"/>
      <c r="AG34" s="139"/>
      <c r="AH34" s="139"/>
      <c r="AI34" s="139"/>
      <c r="AJ34" s="139"/>
      <c r="AK34" s="139"/>
      <c r="AL34" s="139"/>
      <c r="AM34" s="139"/>
    </row>
    <row r="35" spans="1:39" x14ac:dyDescent="0.2">
      <c r="A35" s="143"/>
      <c r="B35" s="146"/>
      <c r="D35" s="198" t="s">
        <v>209</v>
      </c>
      <c r="E35" s="198"/>
      <c r="F35" s="198"/>
      <c r="G35" s="198"/>
      <c r="H35" s="198"/>
      <c r="I35" s="198"/>
      <c r="J35" s="198"/>
      <c r="K35" s="267" t="e">
        <f>DWHR_calcs!B10</f>
        <v>#DIV/0!</v>
      </c>
      <c r="L35" s="267"/>
      <c r="M35" s="203"/>
      <c r="N35" s="139"/>
      <c r="O35" s="137" t="s">
        <v>211</v>
      </c>
      <c r="W35" s="139"/>
      <c r="X35" s="139"/>
      <c r="Y35" s="147"/>
      <c r="Z35" s="139"/>
      <c r="AC35" s="139"/>
      <c r="AE35" s="139"/>
      <c r="AF35" s="139"/>
      <c r="AG35" s="139"/>
      <c r="AH35" s="139"/>
      <c r="AI35" s="139"/>
      <c r="AJ35" s="139"/>
      <c r="AK35" s="139"/>
      <c r="AL35" s="139"/>
      <c r="AM35" s="139"/>
    </row>
    <row r="36" spans="1:39" x14ac:dyDescent="0.2">
      <c r="A36" s="143"/>
      <c r="B36" s="146"/>
      <c r="D36" s="198" t="s">
        <v>210</v>
      </c>
      <c r="E36" s="198"/>
      <c r="F36" s="198"/>
      <c r="G36" s="198"/>
      <c r="H36" s="198"/>
      <c r="I36" s="198"/>
      <c r="J36" s="198"/>
      <c r="K36" s="267" t="e">
        <f>DWHR_calcs!B11</f>
        <v>#DIV/0!</v>
      </c>
      <c r="L36" s="267"/>
      <c r="M36" s="203"/>
      <c r="O36" s="137" t="s">
        <v>213</v>
      </c>
      <c r="W36" s="139"/>
      <c r="X36" s="139"/>
      <c r="Y36" s="147"/>
      <c r="Z36" s="139"/>
      <c r="AC36" s="139"/>
      <c r="AE36" s="139"/>
      <c r="AF36" s="139"/>
      <c r="AG36" s="139"/>
      <c r="AH36" s="139"/>
      <c r="AI36" s="139"/>
      <c r="AJ36" s="139"/>
      <c r="AK36" s="139"/>
      <c r="AL36" s="139"/>
      <c r="AM36" s="139"/>
    </row>
    <row r="37" spans="1:39" x14ac:dyDescent="0.2">
      <c r="A37" s="143"/>
      <c r="B37" s="146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O37" s="139" t="s">
        <v>212</v>
      </c>
      <c r="Q37" s="139"/>
      <c r="R37" s="139"/>
      <c r="S37" s="139"/>
      <c r="T37" s="139"/>
      <c r="U37" s="139"/>
      <c r="V37" s="139"/>
      <c r="W37" s="139"/>
      <c r="X37" s="139"/>
      <c r="Y37" s="147"/>
      <c r="Z37" s="139"/>
      <c r="AC37" s="139"/>
      <c r="AE37" s="139"/>
      <c r="AF37" s="139"/>
      <c r="AG37" s="139"/>
      <c r="AH37" s="139"/>
      <c r="AI37" s="139"/>
      <c r="AJ37" s="139"/>
      <c r="AK37" s="139"/>
      <c r="AL37" s="139"/>
      <c r="AM37" s="139"/>
    </row>
    <row r="38" spans="1:39" x14ac:dyDescent="0.2">
      <c r="A38" s="143"/>
      <c r="B38" s="146"/>
      <c r="C38" s="149" t="s">
        <v>170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P38" s="201"/>
      <c r="Q38" s="201"/>
      <c r="R38" s="201"/>
      <c r="S38" s="201"/>
      <c r="T38" s="201"/>
      <c r="U38" s="201"/>
      <c r="V38" s="201"/>
      <c r="W38" s="139"/>
      <c r="X38" s="139"/>
      <c r="Y38" s="147"/>
      <c r="Z38" s="139"/>
      <c r="AC38" s="139"/>
      <c r="AE38" s="139"/>
      <c r="AF38" s="139"/>
      <c r="AG38" s="139"/>
      <c r="AH38" s="139"/>
      <c r="AI38" s="139"/>
      <c r="AJ38" s="139"/>
      <c r="AK38" s="139"/>
      <c r="AL38" s="139"/>
      <c r="AM38" s="139"/>
    </row>
    <row r="39" spans="1:39" x14ac:dyDescent="0.2">
      <c r="A39" s="143"/>
      <c r="B39" s="146"/>
      <c r="C39" s="197"/>
      <c r="D39" s="197" t="s">
        <v>167</v>
      </c>
      <c r="E39" s="197"/>
      <c r="F39" s="197"/>
      <c r="G39" s="197"/>
      <c r="H39" s="197"/>
      <c r="I39" s="197"/>
      <c r="J39" s="197"/>
      <c r="K39" s="268" t="str">
        <f>DWHR_calcs!B13</f>
        <v>errors</v>
      </c>
      <c r="L39" s="268"/>
      <c r="M39" s="202"/>
      <c r="N39" s="202"/>
      <c r="O39" s="139"/>
      <c r="P39" s="201"/>
      <c r="Q39" s="201"/>
      <c r="R39" s="201"/>
      <c r="S39" s="201"/>
      <c r="T39" s="201"/>
      <c r="U39" s="201"/>
      <c r="V39" s="201"/>
      <c r="W39" s="139"/>
      <c r="X39" s="139"/>
      <c r="Y39" s="147"/>
      <c r="Z39" s="139"/>
      <c r="AC39" s="139"/>
      <c r="AE39" s="139"/>
      <c r="AF39" s="139"/>
      <c r="AG39" s="139"/>
      <c r="AH39" s="139"/>
      <c r="AI39" s="139"/>
      <c r="AJ39" s="139"/>
      <c r="AK39" s="139"/>
      <c r="AL39" s="139"/>
      <c r="AM39" s="139"/>
    </row>
    <row r="40" spans="1:39" x14ac:dyDescent="0.2">
      <c r="A40" s="143"/>
      <c r="B40" s="146"/>
      <c r="C40" s="197"/>
      <c r="D40" s="152" t="s">
        <v>208</v>
      </c>
      <c r="E40" s="152"/>
      <c r="F40" s="152"/>
      <c r="G40" s="152"/>
      <c r="H40" s="152"/>
      <c r="I40" s="152"/>
      <c r="J40" s="152"/>
      <c r="K40" s="269" t="str">
        <f>DWHR_calcs!B14</f>
        <v>errors</v>
      </c>
      <c r="L40" s="269"/>
      <c r="M40" s="202"/>
      <c r="N40" s="202"/>
      <c r="O40" s="265"/>
      <c r="P40" s="265"/>
      <c r="Q40" s="265"/>
      <c r="R40" s="265"/>
      <c r="S40" s="265"/>
      <c r="T40" s="265"/>
      <c r="U40" s="265"/>
      <c r="V40" s="265"/>
      <c r="W40" s="265"/>
      <c r="X40" s="139"/>
      <c r="Y40" s="147"/>
      <c r="Z40" s="139"/>
      <c r="AC40" s="139"/>
      <c r="AE40" s="139"/>
      <c r="AF40" s="139"/>
      <c r="AG40" s="139"/>
      <c r="AH40" s="139"/>
      <c r="AI40" s="139"/>
      <c r="AJ40" s="139"/>
      <c r="AK40" s="139"/>
      <c r="AL40" s="139"/>
      <c r="AM40" s="139"/>
    </row>
    <row r="41" spans="1:39" x14ac:dyDescent="0.2">
      <c r="A41" s="143"/>
      <c r="B41" s="146"/>
      <c r="C41" s="197"/>
      <c r="D41" s="149" t="s">
        <v>168</v>
      </c>
      <c r="E41" s="149"/>
      <c r="F41" s="149"/>
      <c r="G41" s="149"/>
      <c r="H41" s="149"/>
      <c r="I41" s="149"/>
      <c r="J41" s="149"/>
      <c r="K41" s="270" t="e">
        <f>ROUND(DWHR_calcs!B15,0)</f>
        <v>#VALUE!</v>
      </c>
      <c r="L41" s="270"/>
      <c r="M41" s="202"/>
      <c r="N41" s="202"/>
      <c r="O41" s="257">
        <f>'Input Sheet'!B4</f>
        <v>0</v>
      </c>
      <c r="P41" s="257"/>
      <c r="Q41" s="257"/>
      <c r="R41" s="257"/>
      <c r="S41" s="257"/>
      <c r="T41" s="257"/>
      <c r="U41" s="257"/>
      <c r="V41" s="257"/>
      <c r="W41" s="257"/>
      <c r="X41" s="139"/>
      <c r="Y41" s="147"/>
      <c r="Z41" s="139"/>
      <c r="AC41" s="139"/>
      <c r="AE41" s="139"/>
      <c r="AF41" s="139"/>
      <c r="AG41" s="139"/>
      <c r="AH41" s="139"/>
      <c r="AI41" s="139"/>
      <c r="AJ41" s="139"/>
      <c r="AK41" s="139"/>
      <c r="AL41" s="139"/>
      <c r="AM41" s="139"/>
    </row>
    <row r="42" spans="1:39" x14ac:dyDescent="0.2">
      <c r="A42" s="143"/>
      <c r="B42" s="146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7"/>
      <c r="Z42" s="139"/>
      <c r="AC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x14ac:dyDescent="0.2">
      <c r="A43" s="143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3"/>
      <c r="Z43" s="139"/>
      <c r="AC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x14ac:dyDescent="0.2">
      <c r="A44" s="143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C44" s="139"/>
      <c r="AE44" s="139"/>
      <c r="AF44" s="139"/>
      <c r="AG44" s="139"/>
      <c r="AH44" s="139"/>
      <c r="AI44" s="139"/>
      <c r="AJ44" s="139"/>
      <c r="AK44" s="139"/>
      <c r="AL44" s="139"/>
      <c r="AM44" s="139"/>
    </row>
    <row r="45" spans="1:39" s="143" customFormat="1" x14ac:dyDescent="0.2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</row>
    <row r="46" spans="1:39" s="143" customFormat="1" x14ac:dyDescent="0.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s="143" customFormat="1" x14ac:dyDescent="0.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spans="1:39" s="143" customFormat="1" x14ac:dyDescent="0.2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</row>
    <row r="49" spans="1:39" s="143" customFormat="1" x14ac:dyDescent="0.2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</row>
    <row r="50" spans="1:39" s="143" customFormat="1" x14ac:dyDescent="0.2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</row>
    <row r="51" spans="1:39" s="143" customFormat="1" x14ac:dyDescent="0.2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</row>
    <row r="52" spans="1:39" ht="15.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C52" s="139"/>
      <c r="AE52" s="139"/>
      <c r="AF52" s="139"/>
      <c r="AG52" s="139"/>
      <c r="AH52" s="139"/>
      <c r="AI52" s="139"/>
      <c r="AJ52" s="139"/>
      <c r="AK52" s="139"/>
      <c r="AL52" s="139"/>
      <c r="AM52" s="139"/>
    </row>
    <row r="53" spans="1:39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C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1:39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C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:39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C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1:39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C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1:39" ht="15.5" customHeight="1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C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1:39" x14ac:dyDescent="0.2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C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1:39" x14ac:dyDescent="0.2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C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1:39" x14ac:dyDescent="0.2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C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1:39" x14ac:dyDescent="0.2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C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1:39" x14ac:dyDescent="0.2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C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1:39" x14ac:dyDescent="0.2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C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1:39" x14ac:dyDescent="0.2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C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2:39" x14ac:dyDescent="0.2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C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2:39" x14ac:dyDescent="0.2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C66" s="139"/>
      <c r="AE66" s="139"/>
      <c r="AF66" s="139"/>
      <c r="AG66" s="139"/>
      <c r="AH66" s="139"/>
      <c r="AI66" s="139"/>
      <c r="AJ66" s="139"/>
      <c r="AK66" s="139"/>
      <c r="AL66" s="139"/>
      <c r="AM66" s="139"/>
    </row>
  </sheetData>
  <sheetProtection algorithmName="SHA-512" hashValue="FgIU7HIifEvmJPTiyIoujxeXIaZ9ZzPQr3WqcV1sNSWI32uAzOaCDoGrF2DIT8GNTZR87/4q4VtvdIILpuNMxA==" saltValue="DYYbYD+xWKgkzLgMBqBB/w==" spinCount="100000" sheet="1" objects="1" scenarios="1"/>
  <mergeCells count="43">
    <mergeCell ref="K35:L35"/>
    <mergeCell ref="K36:L36"/>
    <mergeCell ref="K39:L39"/>
    <mergeCell ref="K40:L40"/>
    <mergeCell ref="K41:L41"/>
    <mergeCell ref="O40:W40"/>
    <mergeCell ref="O41:W41"/>
    <mergeCell ref="I23:K23"/>
    <mergeCell ref="K28:L28"/>
    <mergeCell ref="G29:H29"/>
    <mergeCell ref="G30:H30"/>
    <mergeCell ref="G31:H31"/>
    <mergeCell ref="I28:J28"/>
    <mergeCell ref="V23:W23"/>
    <mergeCell ref="S28:T28"/>
    <mergeCell ref="V28:W28"/>
    <mergeCell ref="G28:H28"/>
    <mergeCell ref="I29:J29"/>
    <mergeCell ref="I30:J30"/>
    <mergeCell ref="I31:J31"/>
    <mergeCell ref="K29:L29"/>
    <mergeCell ref="F3:U3"/>
    <mergeCell ref="V20:W20"/>
    <mergeCell ref="V21:W21"/>
    <mergeCell ref="V22:W22"/>
    <mergeCell ref="F12:K12"/>
    <mergeCell ref="F13:J13"/>
    <mergeCell ref="Q12:W12"/>
    <mergeCell ref="H16:M16"/>
    <mergeCell ref="H17:K17"/>
    <mergeCell ref="J21:K21"/>
    <mergeCell ref="J22:K22"/>
    <mergeCell ref="R16:W16"/>
    <mergeCell ref="R17:U17"/>
    <mergeCell ref="G32:H32"/>
    <mergeCell ref="V29:W29"/>
    <mergeCell ref="V30:W30"/>
    <mergeCell ref="V31:W31"/>
    <mergeCell ref="K30:L30"/>
    <mergeCell ref="K31:L31"/>
    <mergeCell ref="S29:T29"/>
    <mergeCell ref="S30:T30"/>
    <mergeCell ref="S31:T31"/>
  </mergeCells>
  <pageMargins left="1" right="0.6" top="0.75" bottom="0.75" header="0.3" footer="0.3"/>
  <pageSetup scale="96" orientation="portrait" r:id="rId1"/>
  <rowBreaks count="1" manualBreakCount="1">
    <brk id="44" max="16383" man="1"/>
  </rowBreaks>
  <colBreaks count="1" manualBreakCount="1"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U29"/>
  <sheetViews>
    <sheetView workbookViewId="0">
      <selection activeCell="B20" sqref="B20"/>
    </sheetView>
  </sheetViews>
  <sheetFormatPr baseColWidth="10" defaultColWidth="8.83203125" defaultRowHeight="15" x14ac:dyDescent="0.2"/>
  <cols>
    <col min="1" max="1" width="24.33203125" style="1" customWidth="1"/>
    <col min="2" max="2" width="9.1640625" style="1" customWidth="1"/>
    <col min="3" max="3" width="2.5" style="1" customWidth="1"/>
    <col min="4" max="4" width="14" customWidth="1"/>
    <col min="5" max="5" width="11.1640625" customWidth="1"/>
    <col min="6" max="6" width="9.1640625" style="1" customWidth="1"/>
    <col min="7" max="7" width="8.1640625" customWidth="1"/>
    <col min="8" max="8" width="8.1640625" style="1" customWidth="1"/>
    <col min="9" max="9" width="2.5" customWidth="1"/>
    <col min="10" max="10" width="10.5" customWidth="1"/>
    <col min="12" max="12" width="2.5" style="1" customWidth="1"/>
    <col min="13" max="13" width="10.5" customWidth="1"/>
    <col min="17" max="21" width="0" hidden="1" customWidth="1"/>
  </cols>
  <sheetData>
    <row r="1" spans="1:21" s="1" customFormat="1" ht="19" x14ac:dyDescent="0.25">
      <c r="A1" s="271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3"/>
    </row>
    <row r="2" spans="1:21" s="1" customFormat="1" ht="16" customHeight="1" x14ac:dyDescent="0.2">
      <c r="A2" s="100" t="s">
        <v>54</v>
      </c>
      <c r="B2" s="99"/>
      <c r="C2" s="162" t="s">
        <v>111</v>
      </c>
      <c r="E2" s="163"/>
      <c r="F2" s="163"/>
      <c r="G2" s="163"/>
      <c r="H2" s="163"/>
      <c r="I2" s="119"/>
      <c r="J2" s="165" t="s">
        <v>61</v>
      </c>
      <c r="Q2" s="100" t="s">
        <v>62</v>
      </c>
      <c r="R2" s="99"/>
    </row>
    <row r="3" spans="1:21" ht="16" customHeight="1" x14ac:dyDescent="0.2">
      <c r="A3" s="102" t="s">
        <v>53</v>
      </c>
      <c r="B3" s="185">
        <f>'Input Sheet'!B20</f>
        <v>0</v>
      </c>
      <c r="C3" s="103"/>
      <c r="D3" s="168" t="s">
        <v>76</v>
      </c>
      <c r="E3" s="169" t="s">
        <v>75</v>
      </c>
      <c r="F3" s="170" t="s">
        <v>37</v>
      </c>
      <c r="G3" s="171" t="s">
        <v>38</v>
      </c>
      <c r="H3" s="229" t="s">
        <v>258</v>
      </c>
      <c r="I3" s="99"/>
      <c r="J3" s="105" t="s">
        <v>44</v>
      </c>
      <c r="K3" s="108">
        <f>refAplHW+Fmix*((14.6+10*Nbr)+(9.8*Nbr^0.43))</f>
        <v>16.23545232722417</v>
      </c>
      <c r="L3" s="108"/>
      <c r="M3" s="101" t="s">
        <v>174</v>
      </c>
      <c r="N3" s="99">
        <v>125</v>
      </c>
      <c r="Q3" s="104" t="s">
        <v>72</v>
      </c>
      <c r="T3" s="99"/>
    </row>
    <row r="4" spans="1:21" ht="16" customHeight="1" x14ac:dyDescent="0.2">
      <c r="A4" s="102" t="s">
        <v>11</v>
      </c>
      <c r="B4" s="185">
        <f>'Input Sheet'!B21</f>
        <v>0</v>
      </c>
      <c r="C4" s="103"/>
      <c r="D4" s="172" t="s">
        <v>33</v>
      </c>
      <c r="E4" s="166">
        <f>'Input Sheet'!H13</f>
        <v>0</v>
      </c>
      <c r="F4" s="129">
        <f>'Input Sheet'!I13</f>
        <v>0</v>
      </c>
      <c r="G4" s="173">
        <f>'Input Sheet'!J13</f>
        <v>0</v>
      </c>
      <c r="H4" s="228">
        <f>IF(F4="gas",E4*0.4,E4)</f>
        <v>0</v>
      </c>
      <c r="I4" s="99"/>
      <c r="J4" s="101" t="s">
        <v>1</v>
      </c>
      <c r="K4" s="108" t="e">
        <f>AplHW+Feff*adjFmix*((14.6+10*Nbr+(9.8*Nbr^0.43)*1*1*1))</f>
        <v>#DIV/0!</v>
      </c>
      <c r="L4" s="108"/>
      <c r="M4" s="2" t="s">
        <v>173</v>
      </c>
      <c r="N4">
        <v>105</v>
      </c>
      <c r="S4" s="102" t="s">
        <v>93</v>
      </c>
      <c r="T4" s="81">
        <v>12</v>
      </c>
    </row>
    <row r="5" spans="1:21" ht="16" customHeight="1" x14ac:dyDescent="0.25">
      <c r="A5" s="106" t="s">
        <v>20</v>
      </c>
      <c r="B5" s="186">
        <f>'Input Sheet'!B22</f>
        <v>0</v>
      </c>
      <c r="C5" s="107"/>
      <c r="D5" s="172" t="s">
        <v>40</v>
      </c>
      <c r="E5" s="166">
        <f>'Input Sheet'!H14</f>
        <v>0</v>
      </c>
      <c r="F5" s="129">
        <f>'Input Sheet'!I14</f>
        <v>0</v>
      </c>
      <c r="G5" s="174">
        <f>'Input Sheet'!J14</f>
        <v>0</v>
      </c>
      <c r="H5" s="228">
        <f t="shared" ref="H5:H6" si="0">IF(F5="gas",E5*0.4,E5)</f>
        <v>0</v>
      </c>
      <c r="I5" s="99"/>
      <c r="J5" s="101" t="s">
        <v>83</v>
      </c>
      <c r="K5" s="111" t="e">
        <f>IF(F6="gas",(Tset-Tmains)*8.345*refHWgpd*365/10^5/RateEF,(Tset-Tmains)*8.345*refHWgpd*365/3412/RateEF)</f>
        <v>#DIV/0!</v>
      </c>
      <c r="L5" s="111"/>
      <c r="M5" s="101" t="s">
        <v>65</v>
      </c>
      <c r="N5" s="99">
        <f>Tavg+6.4</f>
        <v>6.4</v>
      </c>
      <c r="S5" s="102" t="s">
        <v>97</v>
      </c>
      <c r="T5" s="81">
        <v>0.46</v>
      </c>
    </row>
    <row r="6" spans="1:21" ht="16" customHeight="1" x14ac:dyDescent="0.25">
      <c r="A6" s="102" t="s">
        <v>74</v>
      </c>
      <c r="B6" s="185">
        <f>'Input Sheet'!B23</f>
        <v>0</v>
      </c>
      <c r="C6" s="103"/>
      <c r="D6" s="172" t="s">
        <v>32</v>
      </c>
      <c r="E6" s="166">
        <f>'Input Sheet'!H15</f>
        <v>0</v>
      </c>
      <c r="F6" s="129">
        <f>'Input Sheet'!I15</f>
        <v>0</v>
      </c>
      <c r="G6" s="174">
        <f>RateEF</f>
        <v>0</v>
      </c>
      <c r="H6" s="228">
        <f t="shared" si="0"/>
        <v>0</v>
      </c>
      <c r="I6" s="99"/>
      <c r="J6" s="101" t="s">
        <v>84</v>
      </c>
      <c r="K6" s="111" t="e">
        <f>IF(F6="gas",(Tset-WHinT)*8.345*HWgpd*365/10^5/RateEF,(Tset-WHinT)*8.345*HWgpd*365/3412/RateEF)</f>
        <v>#DIV/0!</v>
      </c>
      <c r="L6" s="111"/>
      <c r="M6" s="101" t="s">
        <v>47</v>
      </c>
      <c r="N6" s="110">
        <f xml:space="preserve"> 1-((Tset-Tuse)/(Tset-Tmains))</f>
        <v>0.83136593591905561</v>
      </c>
      <c r="Q6" s="104" t="s">
        <v>73</v>
      </c>
      <c r="T6" s="81"/>
    </row>
    <row r="7" spans="1:21" ht="16" customHeight="1" x14ac:dyDescent="0.2">
      <c r="A7" s="102"/>
      <c r="B7" s="81"/>
      <c r="C7" s="105"/>
      <c r="D7" s="175" t="s">
        <v>56</v>
      </c>
      <c r="E7" s="167">
        <f>'Input Sheet'!H16</f>
        <v>0</v>
      </c>
      <c r="F7" s="130" t="s">
        <v>80</v>
      </c>
      <c r="G7" s="176" t="s">
        <v>80</v>
      </c>
      <c r="H7" s="228">
        <f>E7</f>
        <v>0</v>
      </c>
      <c r="I7" s="99"/>
      <c r="J7" s="101" t="s">
        <v>85</v>
      </c>
      <c r="K7" s="110" t="e">
        <f>ECHW/refECHW</f>
        <v>#DIV/0!</v>
      </c>
      <c r="L7" s="110"/>
      <c r="M7" s="101" t="s">
        <v>48</v>
      </c>
      <c r="N7" s="110" t="e">
        <f xml:space="preserve"> 1-((Tset-Tuse)/(Tset-(Tmains+WHinTadj)))</f>
        <v>#DIV/0!</v>
      </c>
      <c r="S7" s="102" t="s">
        <v>92</v>
      </c>
      <c r="T7" s="81">
        <v>2.8740000000000001</v>
      </c>
    </row>
    <row r="8" spans="1:21" ht="16" customHeight="1" x14ac:dyDescent="0.2">
      <c r="C8" s="103"/>
      <c r="D8" s="177" t="s">
        <v>41</v>
      </c>
      <c r="E8" s="178">
        <f>SUM(E4:E7)</f>
        <v>0</v>
      </c>
      <c r="F8" s="179"/>
      <c r="G8" s="180"/>
      <c r="H8" s="227">
        <f>SUM(H4:H7)</f>
        <v>0</v>
      </c>
      <c r="I8" s="99"/>
      <c r="J8" s="101" t="s">
        <v>0</v>
      </c>
      <c r="K8" s="99">
        <f>IF(B6="standard",1,0.95)</f>
        <v>0.95</v>
      </c>
      <c r="L8" s="99"/>
      <c r="M8" s="101" t="s">
        <v>70</v>
      </c>
      <c r="N8" s="99">
        <v>97</v>
      </c>
      <c r="S8" s="106" t="s">
        <v>88</v>
      </c>
      <c r="T8" s="81">
        <v>704</v>
      </c>
    </row>
    <row r="9" spans="1:21" ht="16" customHeight="1" x14ac:dyDescent="0.2">
      <c r="A9" s="98" t="s">
        <v>96</v>
      </c>
      <c r="B9" s="99"/>
      <c r="C9" s="164" t="s">
        <v>112</v>
      </c>
      <c r="E9" s="163"/>
      <c r="F9" s="163"/>
      <c r="G9" s="163"/>
      <c r="H9" s="163"/>
      <c r="I9" s="99"/>
      <c r="J9" s="101" t="s">
        <v>81</v>
      </c>
      <c r="K9" s="115">
        <f xml:space="preserve"> (3/2.847) * (164 + Nbr*46.5)</f>
        <v>172.81348788198105</v>
      </c>
      <c r="L9" s="115"/>
      <c r="M9" s="101" t="s">
        <v>49</v>
      </c>
      <c r="N9" s="112">
        <f>IF(B6="low-flow",B5*1.082,B5)</f>
        <v>0</v>
      </c>
      <c r="S9" s="106" t="s">
        <v>91</v>
      </c>
      <c r="T9" s="81">
        <v>8.0299999999999996E-2</v>
      </c>
    </row>
    <row r="10" spans="1:21" ht="16" customHeight="1" x14ac:dyDescent="0.2">
      <c r="A10" s="109" t="s">
        <v>94</v>
      </c>
      <c r="B10" s="187" t="e">
        <f>(HERS_calcs!M6-HERS_calcs!M7)/HERS_calcs!M6</f>
        <v>#DIV/0!</v>
      </c>
      <c r="C10" s="99"/>
      <c r="D10" s="168" t="s">
        <v>76</v>
      </c>
      <c r="E10" s="169" t="s">
        <v>75</v>
      </c>
      <c r="F10" s="181" t="s">
        <v>55</v>
      </c>
      <c r="G10" s="131"/>
      <c r="H10" s="131"/>
      <c r="I10" s="99"/>
      <c r="J10" s="101" t="s">
        <v>82</v>
      </c>
      <c r="K10" s="115">
        <f xml:space="preserve"> NCY* ((3*2.08+1.59)/(CAPw*2.08+1.59))</f>
        <v>178.79808588303149</v>
      </c>
      <c r="L10" s="115"/>
      <c r="M10" s="101" t="s">
        <v>67</v>
      </c>
      <c r="N10" s="99">
        <f>0.56+0.015*Nbr-0.0004*Nbr^2</f>
        <v>0.56000000000000005</v>
      </c>
      <c r="S10" s="106" t="s">
        <v>90</v>
      </c>
      <c r="T10" s="81">
        <v>0.57999999999999996</v>
      </c>
    </row>
    <row r="11" spans="1:21" ht="16" customHeight="1" x14ac:dyDescent="0.2">
      <c r="A11" s="109" t="s">
        <v>95</v>
      </c>
      <c r="B11" s="187" t="e">
        <f>(HERS_calcs!M6-HERS_calcs!M7)/SUM(HERS_calcs!K6:N6)</f>
        <v>#DIV/0!</v>
      </c>
      <c r="C11" s="99"/>
      <c r="D11" s="172" t="s">
        <v>33</v>
      </c>
      <c r="E11" s="166">
        <f>'Input Sheet'!H20</f>
        <v>0</v>
      </c>
      <c r="F11" s="182">
        <f>'Input Sheet'!I20</f>
        <v>0</v>
      </c>
      <c r="G11" s="131"/>
      <c r="H11" s="131"/>
      <c r="I11" s="99"/>
      <c r="J11" s="101" t="s">
        <v>45</v>
      </c>
      <c r="K11" s="108">
        <f xml:space="preserve"> ((88.4+34.9*Nbr)*8.16)/365</f>
        <v>1.9762849315068494</v>
      </c>
      <c r="L11" s="108"/>
      <c r="M11" s="101" t="s">
        <v>9</v>
      </c>
      <c r="N11" s="99">
        <f>IF(B4="yes",1,0.777)</f>
        <v>0.77700000000000002</v>
      </c>
      <c r="S11" s="106" t="s">
        <v>89</v>
      </c>
      <c r="T11" s="81">
        <v>23</v>
      </c>
    </row>
    <row r="12" spans="1:21" ht="16" customHeight="1" x14ac:dyDescent="0.2">
      <c r="A12" s="98" t="s">
        <v>79</v>
      </c>
      <c r="B12" s="163"/>
      <c r="C12" s="99"/>
      <c r="D12" s="172" t="s">
        <v>40</v>
      </c>
      <c r="E12" s="166">
        <f>'Input Sheet'!H21</f>
        <v>0</v>
      </c>
      <c r="F12" s="182">
        <f>'Input Sheet'!I21</f>
        <v>0</v>
      </c>
      <c r="G12" s="131"/>
      <c r="H12" s="131"/>
      <c r="I12" s="99"/>
      <c r="J12" s="101" t="s">
        <v>46</v>
      </c>
      <c r="K12" s="108">
        <f>((4.563*(164+46.5*Nbr))*((3*2.08+1.59)/(2.874*2.08+1.59)))/365</f>
        <v>2.1212247312991086</v>
      </c>
      <c r="L12" s="108"/>
      <c r="M12" s="101" t="s">
        <v>68</v>
      </c>
      <c r="N12" s="99">
        <f>IF(B3="all",1,0.5)</f>
        <v>0.5</v>
      </c>
    </row>
    <row r="13" spans="1:21" s="1" customFormat="1" ht="16" customHeight="1" x14ac:dyDescent="0.2">
      <c r="A13" s="189" t="s">
        <v>77</v>
      </c>
      <c r="B13" s="188" t="str">
        <f>IF(Input_Errors=0,HERS_calcs!B5*B19,"errors")</f>
        <v>errors</v>
      </c>
      <c r="C13" s="99"/>
      <c r="D13" s="172" t="s">
        <v>32</v>
      </c>
      <c r="E13" s="166">
        <f>'Input Sheet'!H22</f>
        <v>0</v>
      </c>
      <c r="F13" s="182">
        <f>'Input Sheet'!I22</f>
        <v>0</v>
      </c>
      <c r="G13" s="131"/>
      <c r="H13" s="131"/>
      <c r="I13" s="99"/>
      <c r="J13" s="101" t="s">
        <v>176</v>
      </c>
      <c r="K13" s="108">
        <f>SUM(K11:K12)</f>
        <v>4.0975096628059582</v>
      </c>
      <c r="L13" s="108"/>
      <c r="M13" s="101" t="s">
        <v>69</v>
      </c>
      <c r="N13" s="115" t="e">
        <f>IF(Bsmt="no",2*(CFA/Nfl)^0.5+10*Nfl+0,2*(CFA/Nfl)^0.5+10*Nfl+5)</f>
        <v>#DIV/0!</v>
      </c>
      <c r="Q13" s="97" t="s">
        <v>118</v>
      </c>
      <c r="R13" s="97"/>
      <c r="S13" s="97"/>
      <c r="T13" s="97"/>
      <c r="U13" s="97"/>
    </row>
    <row r="14" spans="1:21" ht="16" customHeight="1" x14ac:dyDescent="0.2">
      <c r="A14" s="189" t="s">
        <v>177</v>
      </c>
      <c r="B14" s="188" t="str">
        <f>IF(Input_Errors=0,HERS_calcs!B7-HERS_calcs!B6,"errors")</f>
        <v>errors</v>
      </c>
      <c r="C14" s="99"/>
      <c r="D14" s="175" t="s">
        <v>56</v>
      </c>
      <c r="E14" s="167">
        <f>'Input Sheet'!H23</f>
        <v>0</v>
      </c>
      <c r="F14" s="183">
        <f>'Input Sheet'!H23</f>
        <v>0</v>
      </c>
      <c r="G14" s="132"/>
      <c r="H14" s="132"/>
      <c r="I14" s="113"/>
      <c r="J14" s="101" t="s">
        <v>63</v>
      </c>
      <c r="K14" s="108">
        <f xml:space="preserve"> ((88.4+34.9*Nbr)*12/dWcap*(4.6415*(1/dWashEF)-1.9295))/365</f>
        <v>1.9764586777843953</v>
      </c>
      <c r="L14" s="108"/>
      <c r="M14" s="101" t="s">
        <v>71</v>
      </c>
      <c r="N14" s="112" t="e">
        <f>1-0.0002*pipeL</f>
        <v>#DIV/0!</v>
      </c>
      <c r="Q14" s="5" t="s">
        <v>113</v>
      </c>
      <c r="R14" s="5" t="s">
        <v>60</v>
      </c>
      <c r="S14" s="5" t="s">
        <v>57</v>
      </c>
      <c r="T14" s="5" t="s">
        <v>58</v>
      </c>
      <c r="U14" s="5" t="s">
        <v>52</v>
      </c>
    </row>
    <row r="15" spans="1:21" ht="16" customHeight="1" x14ac:dyDescent="0.2">
      <c r="A15" s="189" t="s">
        <v>78</v>
      </c>
      <c r="B15" s="219" t="str">
        <f>IF(Input_Errors=0,ROUND((B13+B14),0),"errors")</f>
        <v>errors</v>
      </c>
      <c r="C15" s="99"/>
      <c r="D15" s="177" t="s">
        <v>41</v>
      </c>
      <c r="E15" s="178">
        <f>SUM(E11:E14)</f>
        <v>0</v>
      </c>
      <c r="F15" s="184">
        <f>SUM(F11:F14)</f>
        <v>0</v>
      </c>
      <c r="G15" s="132"/>
      <c r="H15" s="132"/>
      <c r="I15" s="114"/>
      <c r="J15" s="101" t="s">
        <v>64</v>
      </c>
      <c r="K15" s="108">
        <f xml:space="preserve"> 60*((LER*(elec_cost)-AGC)/(21.9825*(elec_cost)-(gas_cost))/ 392)*ACY/365</f>
        <v>2.1212632158974536</v>
      </c>
      <c r="L15" s="108"/>
      <c r="M15" s="101" t="s">
        <v>10</v>
      </c>
      <c r="N15" s="111" t="e">
        <f>Ifrac*(DWHRinT-Tmains)*DWHReff*PLC*LocF*FixF</f>
        <v>#DIV/0!</v>
      </c>
      <c r="Q15" s="5" t="s">
        <v>109</v>
      </c>
      <c r="R15" s="5" t="s">
        <v>6</v>
      </c>
      <c r="S15" s="5" t="s">
        <v>2</v>
      </c>
      <c r="T15" s="5" t="s">
        <v>7</v>
      </c>
      <c r="U15" s="5" t="s">
        <v>59</v>
      </c>
    </row>
    <row r="16" spans="1:21" s="1" customFormat="1" ht="16" customHeight="1" x14ac:dyDescent="0.2">
      <c r="C16" s="99"/>
      <c r="D16" s="116"/>
      <c r="E16" s="127"/>
      <c r="F16" s="127"/>
      <c r="G16" s="127"/>
      <c r="H16" s="127"/>
      <c r="I16" s="99"/>
      <c r="J16" s="101" t="s">
        <v>175</v>
      </c>
      <c r="K16" s="108">
        <f>K14+K15</f>
        <v>4.0977218936818485</v>
      </c>
      <c r="L16" s="108"/>
      <c r="M16" s="101" t="s">
        <v>66</v>
      </c>
      <c r="N16" s="111" t="e">
        <f>Tmains+WHinTadj</f>
        <v>#DIV/0!</v>
      </c>
      <c r="Q16" s="5" t="s">
        <v>110</v>
      </c>
      <c r="R16" s="5" t="s">
        <v>5</v>
      </c>
      <c r="S16" s="5" t="s">
        <v>3</v>
      </c>
      <c r="T16" s="5" t="s">
        <v>4</v>
      </c>
      <c r="U16" s="5" t="s">
        <v>19</v>
      </c>
    </row>
    <row r="17" spans="1:14" s="1" customFormat="1" ht="16" customHeight="1" x14ac:dyDescent="0.2">
      <c r="A17" s="109" t="s">
        <v>149</v>
      </c>
      <c r="B17" s="1">
        <f>'Input Sheet'!L42</f>
        <v>39</v>
      </c>
      <c r="C17" s="99"/>
      <c r="D17" s="117"/>
      <c r="E17" s="190"/>
      <c r="F17" s="118"/>
      <c r="G17" s="118"/>
      <c r="H17" s="118"/>
      <c r="I17" s="99"/>
      <c r="J17" s="101" t="s">
        <v>87</v>
      </c>
      <c r="K17" s="99">
        <f>30+10*Nbr</f>
        <v>30</v>
      </c>
      <c r="M17" s="101" t="s">
        <v>86</v>
      </c>
      <c r="N17" s="110" t="e">
        <f>HWgpd/STDgpd</f>
        <v>#DIV/0!</v>
      </c>
    </row>
    <row r="18" spans="1:14" s="1" customFormat="1" ht="16" customHeight="1" x14ac:dyDescent="0.2">
      <c r="A18" s="226" t="s">
        <v>256</v>
      </c>
      <c r="B18" s="3">
        <f>'Input Sheet'!H17</f>
        <v>0</v>
      </c>
      <c r="I18" s="99"/>
    </row>
    <row r="19" spans="1:14" s="1" customFormat="1" ht="15.75" customHeight="1" x14ac:dyDescent="0.2">
      <c r="A19" s="225" t="s">
        <v>257</v>
      </c>
      <c r="B19" s="108" t="e">
        <f>(H8-B18)/H8</f>
        <v>#DIV/0!</v>
      </c>
      <c r="C19" s="99"/>
      <c r="D19" s="99"/>
      <c r="E19" s="99"/>
      <c r="F19" s="99"/>
      <c r="G19" s="99"/>
      <c r="H19" s="99"/>
      <c r="I19" s="99"/>
    </row>
    <row r="20" spans="1:14" s="1" customFormat="1" ht="15.75" customHeight="1" x14ac:dyDescent="0.2">
      <c r="A20" s="108"/>
      <c r="B20" s="108"/>
      <c r="C20" s="99"/>
      <c r="D20" s="99"/>
      <c r="E20" s="99"/>
      <c r="F20" s="99"/>
      <c r="G20" s="99"/>
      <c r="H20" s="99"/>
      <c r="I20" s="99"/>
    </row>
    <row r="21" spans="1:14" ht="15.75" customHeight="1" x14ac:dyDescent="0.2">
      <c r="A21" s="108"/>
      <c r="B21" s="108"/>
      <c r="C21" s="99"/>
      <c r="D21" s="99"/>
      <c r="E21" s="99"/>
      <c r="F21" s="99"/>
      <c r="G21" s="99"/>
      <c r="H21" s="99"/>
      <c r="I21" s="99"/>
    </row>
    <row r="22" spans="1:14" ht="15.75" customHeight="1" x14ac:dyDescent="0.2">
      <c r="A22" s="108"/>
      <c r="B22" s="108"/>
      <c r="C22" s="99"/>
      <c r="D22" s="99"/>
      <c r="E22" s="99"/>
      <c r="F22" s="99"/>
      <c r="G22" s="99"/>
      <c r="H22" s="99"/>
      <c r="I22" s="99"/>
    </row>
    <row r="23" spans="1:14" ht="15.75" customHeight="1" x14ac:dyDescent="0.2">
      <c r="A23" s="3"/>
      <c r="B23" s="3"/>
    </row>
    <row r="24" spans="1:14" ht="15.75" customHeight="1" x14ac:dyDescent="0.2">
      <c r="A24" s="3"/>
      <c r="B24" s="3"/>
    </row>
    <row r="25" spans="1:14" ht="15.75" customHeight="1" x14ac:dyDescent="0.2">
      <c r="A25" s="3"/>
      <c r="B25" s="3"/>
    </row>
    <row r="26" spans="1:14" ht="15.75" customHeight="1" x14ac:dyDescent="0.2">
      <c r="A26" s="3"/>
      <c r="B26" s="3"/>
    </row>
    <row r="27" spans="1:14" ht="15.75" customHeight="1" x14ac:dyDescent="0.2">
      <c r="A27" s="3"/>
      <c r="B27" s="3"/>
    </row>
    <row r="28" spans="1:14" ht="15.75" customHeight="1" x14ac:dyDescent="0.2">
      <c r="A28" s="3"/>
      <c r="B28" s="3"/>
    </row>
    <row r="29" spans="1:14" ht="15.75" customHeight="1" x14ac:dyDescent="0.2">
      <c r="A29" s="3"/>
      <c r="B29" s="3"/>
    </row>
  </sheetData>
  <sheetProtection algorithmName="SHA-512" hashValue="jDu+txRnhUwRM8GYXHI+au6ZXbnmDZSK9N/NNxe1d5ZP7A5C9lWDa6IXeixtegm1/B9JUYPS/5Gn8x0whnx2NQ==" saltValue="gg4pNFYJfRBf8gDMjnBTCA==" spinCount="100000" sheet="1" objects="1" scenarios="1"/>
  <mergeCells count="1">
    <mergeCell ref="A1:N1"/>
  </mergeCells>
  <dataValidations count="1">
    <dataValidation type="list" allowBlank="1" showInputMessage="1" showErrorMessage="1" sqref="C6 C8 C3:C4" xr:uid="{00000000-0002-0000-0300-000000000000}">
      <formula1>#REF!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Y21"/>
  <sheetViews>
    <sheetView workbookViewId="0">
      <selection sqref="A1:C1"/>
    </sheetView>
  </sheetViews>
  <sheetFormatPr baseColWidth="10" defaultColWidth="9.1640625" defaultRowHeight="13" x14ac:dyDescent="0.15"/>
  <cols>
    <col min="1" max="1" width="11.5" style="8" customWidth="1"/>
    <col min="2" max="2" width="7.5" style="8" customWidth="1"/>
    <col min="3" max="15" width="8.5" style="8" customWidth="1"/>
    <col min="16" max="21" width="7.5" style="8" customWidth="1"/>
    <col min="22" max="16384" width="9.1640625" style="8"/>
  </cols>
  <sheetData>
    <row r="1" spans="1:25" ht="16" thickBot="1" x14ac:dyDescent="0.25">
      <c r="A1" s="281" t="s">
        <v>51</v>
      </c>
      <c r="B1" s="253"/>
      <c r="C1" s="253"/>
      <c r="D1" s="9"/>
      <c r="E1" s="9"/>
      <c r="F1" s="9"/>
      <c r="J1" s="49"/>
    </row>
    <row r="2" spans="1:25" ht="26.25" customHeight="1" x14ac:dyDescent="0.15">
      <c r="A2" s="298" t="s">
        <v>42</v>
      </c>
      <c r="B2" s="301" t="s">
        <v>25</v>
      </c>
      <c r="C2" s="282" t="s">
        <v>26</v>
      </c>
      <c r="D2" s="297"/>
      <c r="E2" s="297"/>
      <c r="F2" s="284"/>
      <c r="G2" s="282" t="s">
        <v>27</v>
      </c>
      <c r="H2" s="297"/>
      <c r="I2" s="297"/>
      <c r="J2" s="284"/>
      <c r="K2" s="294" t="s">
        <v>28</v>
      </c>
      <c r="L2" s="295"/>
      <c r="M2" s="295"/>
      <c r="N2" s="296"/>
      <c r="O2" s="282" t="s">
        <v>29</v>
      </c>
      <c r="P2" s="283"/>
      <c r="Q2" s="283"/>
      <c r="R2" s="283"/>
      <c r="S2" s="283"/>
      <c r="T2" s="284"/>
    </row>
    <row r="3" spans="1:25" ht="15" x14ac:dyDescent="0.2">
      <c r="A3" s="299"/>
      <c r="B3" s="302"/>
      <c r="C3" s="10" t="s">
        <v>30</v>
      </c>
      <c r="D3" s="11" t="s">
        <v>31</v>
      </c>
      <c r="E3" s="12" t="s">
        <v>32</v>
      </c>
      <c r="F3" s="13" t="s">
        <v>35</v>
      </c>
      <c r="G3" s="10" t="s">
        <v>33</v>
      </c>
      <c r="H3" s="11" t="s">
        <v>34</v>
      </c>
      <c r="I3" s="12" t="s">
        <v>32</v>
      </c>
      <c r="J3" s="13" t="s">
        <v>35</v>
      </c>
      <c r="K3" s="10" t="s">
        <v>33</v>
      </c>
      <c r="L3" s="11" t="s">
        <v>34</v>
      </c>
      <c r="M3" s="12" t="s">
        <v>32</v>
      </c>
      <c r="N3" s="13" t="s">
        <v>35</v>
      </c>
      <c r="O3" s="285" t="s">
        <v>33</v>
      </c>
      <c r="P3" s="286"/>
      <c r="Q3" s="287" t="s">
        <v>34</v>
      </c>
      <c r="R3" s="286"/>
      <c r="S3" s="287" t="s">
        <v>32</v>
      </c>
      <c r="T3" s="288"/>
    </row>
    <row r="4" spans="1:25" ht="14" thickBot="1" x14ac:dyDescent="0.2">
      <c r="A4" s="300"/>
      <c r="B4" s="303"/>
      <c r="C4" s="14" t="s">
        <v>36</v>
      </c>
      <c r="D4" s="15" t="s">
        <v>36</v>
      </c>
      <c r="E4" s="16" t="s">
        <v>36</v>
      </c>
      <c r="F4" s="17" t="s">
        <v>36</v>
      </c>
      <c r="G4" s="14" t="s">
        <v>36</v>
      </c>
      <c r="H4" s="15" t="s">
        <v>36</v>
      </c>
      <c r="I4" s="16" t="s">
        <v>36</v>
      </c>
      <c r="J4" s="17" t="s">
        <v>36</v>
      </c>
      <c r="K4" s="14" t="s">
        <v>36</v>
      </c>
      <c r="L4" s="15" t="s">
        <v>36</v>
      </c>
      <c r="M4" s="16" t="s">
        <v>36</v>
      </c>
      <c r="N4" s="17" t="s">
        <v>36</v>
      </c>
      <c r="O4" s="18" t="s">
        <v>37</v>
      </c>
      <c r="P4" s="19" t="s">
        <v>38</v>
      </c>
      <c r="Q4" s="19" t="s">
        <v>37</v>
      </c>
      <c r="R4" s="19" t="s">
        <v>38</v>
      </c>
      <c r="S4" s="19" t="s">
        <v>37</v>
      </c>
      <c r="T4" s="20" t="s">
        <v>38</v>
      </c>
    </row>
    <row r="5" spans="1:25" x14ac:dyDescent="0.15">
      <c r="A5" s="47" t="s">
        <v>21</v>
      </c>
      <c r="B5" s="57" t="e">
        <f>100*W16/X16</f>
        <v>#DIV/0!</v>
      </c>
      <c r="C5" s="58">
        <f>DWHR_calcs!F11</f>
        <v>0</v>
      </c>
      <c r="D5" s="59">
        <f>DWHR_calcs!F12</f>
        <v>0</v>
      </c>
      <c r="E5" s="60">
        <f>DWHR_calcs!F13</f>
        <v>0</v>
      </c>
      <c r="F5" s="61">
        <f>DWHR_calcs!F14</f>
        <v>0</v>
      </c>
      <c r="G5" s="58">
        <f>DWHR_calcs!E11</f>
        <v>0</v>
      </c>
      <c r="H5" s="59">
        <f>DWHR_calcs!E12</f>
        <v>0</v>
      </c>
      <c r="I5" s="60">
        <f>DWHR_calcs!E13</f>
        <v>0</v>
      </c>
      <c r="J5" s="61">
        <f>DWHR_calcs!E14</f>
        <v>0</v>
      </c>
      <c r="K5" s="58">
        <f>DWHR_calcs!E4</f>
        <v>0</v>
      </c>
      <c r="L5" s="59">
        <f>DWHR_calcs!E5</f>
        <v>0</v>
      </c>
      <c r="M5" s="60">
        <f>DWHR_calcs!E6</f>
        <v>0</v>
      </c>
      <c r="N5" s="61">
        <f>DWHR_calcs!E7</f>
        <v>0</v>
      </c>
      <c r="O5" s="74">
        <f>DWHR_calcs!F4</f>
        <v>0</v>
      </c>
      <c r="P5" s="75">
        <f>DWHR_calcs!G4</f>
        <v>0</v>
      </c>
      <c r="Q5" s="75">
        <f>DWHR_calcs!F5</f>
        <v>0</v>
      </c>
      <c r="R5" s="75">
        <f>DWHR_calcs!G5</f>
        <v>0</v>
      </c>
      <c r="S5" s="76">
        <f>DWHR_calcs!F6</f>
        <v>0</v>
      </c>
      <c r="T5" s="77">
        <f>RateEF</f>
        <v>0</v>
      </c>
    </row>
    <row r="6" spans="1:25" x14ac:dyDescent="0.15">
      <c r="A6" s="47" t="s">
        <v>22</v>
      </c>
      <c r="B6" s="62" t="e">
        <f>100*W17/X17</f>
        <v>#DIV/0!</v>
      </c>
      <c r="C6" s="63">
        <f>C5</f>
        <v>0</v>
      </c>
      <c r="D6" s="64">
        <f>D5</f>
        <v>0</v>
      </c>
      <c r="E6" s="65" t="e">
        <f>E5*gpd_ratio</f>
        <v>#DIV/0!</v>
      </c>
      <c r="F6" s="66">
        <f>F5</f>
        <v>0</v>
      </c>
      <c r="G6" s="63">
        <f>G5</f>
        <v>0</v>
      </c>
      <c r="H6" s="64">
        <f>H5</f>
        <v>0</v>
      </c>
      <c r="I6" s="65" t="e">
        <f>I5*gpd_ratio</f>
        <v>#DIV/0!</v>
      </c>
      <c r="J6" s="66">
        <f>J5</f>
        <v>0</v>
      </c>
      <c r="K6" s="63">
        <f>K5</f>
        <v>0</v>
      </c>
      <c r="L6" s="64">
        <f>L5</f>
        <v>0</v>
      </c>
      <c r="M6" s="65" t="e">
        <f>M5*gpd_ratio</f>
        <v>#DIV/0!</v>
      </c>
      <c r="N6" s="66">
        <f>N5</f>
        <v>0</v>
      </c>
      <c r="O6" s="21">
        <f>O5</f>
        <v>0</v>
      </c>
      <c r="P6" s="22">
        <f>P5</f>
        <v>0</v>
      </c>
      <c r="Q6" s="23" t="s">
        <v>6</v>
      </c>
      <c r="R6" s="22">
        <f>R5</f>
        <v>0</v>
      </c>
      <c r="S6" s="23">
        <f>S5</f>
        <v>0</v>
      </c>
      <c r="T6" s="24">
        <f>T5</f>
        <v>0</v>
      </c>
    </row>
    <row r="7" spans="1:25" ht="14" thickBot="1" x14ac:dyDescent="0.2">
      <c r="A7" s="56" t="s">
        <v>43</v>
      </c>
      <c r="B7" s="67" t="e">
        <f>100*W18/X18</f>
        <v>#DIV/0!</v>
      </c>
      <c r="C7" s="68">
        <f>C5</f>
        <v>0</v>
      </c>
      <c r="D7" s="69">
        <f>D5</f>
        <v>0</v>
      </c>
      <c r="E7" s="69" t="e">
        <f>E6</f>
        <v>#DIV/0!</v>
      </c>
      <c r="F7" s="70">
        <f>F5</f>
        <v>0</v>
      </c>
      <c r="G7" s="68">
        <f>G5</f>
        <v>0</v>
      </c>
      <c r="H7" s="69">
        <f>H5</f>
        <v>0</v>
      </c>
      <c r="I7" s="69" t="e">
        <f>I6</f>
        <v>#DIV/0!</v>
      </c>
      <c r="J7" s="70">
        <f>J5</f>
        <v>0</v>
      </c>
      <c r="K7" s="68">
        <f>K5</f>
        <v>0</v>
      </c>
      <c r="L7" s="69">
        <f>L5</f>
        <v>0</v>
      </c>
      <c r="M7" s="69" t="e">
        <f>M6*EC_ratio</f>
        <v>#DIV/0!</v>
      </c>
      <c r="N7" s="70">
        <f t="shared" ref="N7:T7" si="0">N5</f>
        <v>0</v>
      </c>
      <c r="O7" s="14">
        <f t="shared" si="0"/>
        <v>0</v>
      </c>
      <c r="P7" s="25">
        <f t="shared" si="0"/>
        <v>0</v>
      </c>
      <c r="Q7" s="15">
        <f t="shared" si="0"/>
        <v>0</v>
      </c>
      <c r="R7" s="25">
        <f t="shared" si="0"/>
        <v>0</v>
      </c>
      <c r="S7" s="15">
        <f t="shared" si="0"/>
        <v>0</v>
      </c>
      <c r="T7" s="17">
        <f t="shared" si="0"/>
        <v>0</v>
      </c>
    </row>
    <row r="8" spans="1:25" hidden="1" x14ac:dyDescent="0.15">
      <c r="A8" s="83" t="s">
        <v>98</v>
      </c>
      <c r="E8" s="79" t="e">
        <f>E6/SUM(C6:F6)</f>
        <v>#DIV/0!</v>
      </c>
      <c r="F8" s="79"/>
      <c r="G8" s="79"/>
      <c r="H8" s="79"/>
      <c r="I8" s="79" t="e">
        <f>I6/SUM(G6:J6)</f>
        <v>#DIV/0!</v>
      </c>
      <c r="J8" s="79"/>
      <c r="K8" s="79"/>
      <c r="L8" s="79"/>
      <c r="M8" s="79" t="e">
        <f>M6/SUM(K6:N6)</f>
        <v>#DIV/0!</v>
      </c>
      <c r="O8" s="54"/>
    </row>
    <row r="9" spans="1:25" ht="15" hidden="1" x14ac:dyDescent="0.2">
      <c r="A9" s="83" t="s">
        <v>99</v>
      </c>
      <c r="E9" s="82"/>
      <c r="I9" s="82"/>
      <c r="M9" s="82" t="e">
        <f>(M6-M7)/M6</f>
        <v>#DIV/0!</v>
      </c>
      <c r="O9" s="7"/>
      <c r="P9" s="53"/>
      <c r="Q9" s="2"/>
      <c r="R9" s="2"/>
    </row>
    <row r="10" spans="1:25" ht="15" hidden="1" x14ac:dyDescent="0.2">
      <c r="A10" s="83" t="s">
        <v>100</v>
      </c>
      <c r="C10" s="26"/>
      <c r="E10" s="55"/>
      <c r="I10" s="55"/>
      <c r="M10" s="55" t="e">
        <f>(M6-M7)/SUM(K6:N6)</f>
        <v>#DIV/0!</v>
      </c>
      <c r="O10" s="53"/>
      <c r="P10" s="3"/>
      <c r="Q10" s="3"/>
      <c r="R10" s="3"/>
    </row>
    <row r="11" spans="1:25" ht="15" hidden="1" x14ac:dyDescent="0.2">
      <c r="A11" s="85" t="s">
        <v>101</v>
      </c>
      <c r="B11" s="84" t="e">
        <f>B7-B6</f>
        <v>#DIV/0!</v>
      </c>
      <c r="O11" s="2"/>
      <c r="P11" s="4"/>
      <c r="Q11" s="53"/>
      <c r="R11" s="3"/>
    </row>
    <row r="12" spans="1:25" ht="14" thickBot="1" x14ac:dyDescent="0.2"/>
    <row r="13" spans="1:25" ht="14" thickTop="1" x14ac:dyDescent="0.15">
      <c r="A13" s="289" t="s">
        <v>42</v>
      </c>
      <c r="B13" s="27" t="s">
        <v>8</v>
      </c>
      <c r="C13" s="28"/>
      <c r="D13" s="28"/>
      <c r="E13" s="28"/>
      <c r="F13" s="28"/>
      <c r="G13" s="28"/>
      <c r="H13" s="27" t="s">
        <v>17</v>
      </c>
      <c r="I13" s="28"/>
      <c r="J13" s="28"/>
      <c r="K13" s="27" t="s">
        <v>15</v>
      </c>
      <c r="L13" s="28"/>
      <c r="M13" s="29"/>
      <c r="N13" s="28" t="s">
        <v>14</v>
      </c>
      <c r="O13" s="28"/>
      <c r="P13" s="28"/>
      <c r="Q13" s="27" t="s">
        <v>16</v>
      </c>
      <c r="R13" s="28"/>
      <c r="S13" s="28"/>
      <c r="T13" s="27" t="s">
        <v>18</v>
      </c>
      <c r="U13" s="28"/>
      <c r="V13" s="28"/>
      <c r="W13" s="292" t="s">
        <v>39</v>
      </c>
      <c r="X13" s="293"/>
      <c r="Y13" s="274"/>
    </row>
    <row r="14" spans="1:25" x14ac:dyDescent="0.15">
      <c r="A14" s="290"/>
      <c r="B14" s="30" t="s">
        <v>33</v>
      </c>
      <c r="C14" s="31"/>
      <c r="D14" s="30" t="s">
        <v>34</v>
      </c>
      <c r="E14" s="32"/>
      <c r="F14" s="31" t="s">
        <v>32</v>
      </c>
      <c r="G14" s="31"/>
      <c r="H14" s="276" t="s">
        <v>33</v>
      </c>
      <c r="I14" s="278" t="s">
        <v>40</v>
      </c>
      <c r="J14" s="280" t="s">
        <v>50</v>
      </c>
      <c r="K14" s="276" t="s">
        <v>33</v>
      </c>
      <c r="L14" s="278" t="s">
        <v>40</v>
      </c>
      <c r="M14" s="280" t="s">
        <v>50</v>
      </c>
      <c r="N14" s="276" t="s">
        <v>33</v>
      </c>
      <c r="O14" s="278" t="s">
        <v>40</v>
      </c>
      <c r="P14" s="280" t="s">
        <v>50</v>
      </c>
      <c r="Q14" s="276" t="s">
        <v>33</v>
      </c>
      <c r="R14" s="278" t="s">
        <v>40</v>
      </c>
      <c r="S14" s="280" t="s">
        <v>50</v>
      </c>
      <c r="T14" s="276" t="s">
        <v>33</v>
      </c>
      <c r="U14" s="278" t="s">
        <v>40</v>
      </c>
      <c r="V14" s="280" t="s">
        <v>50</v>
      </c>
      <c r="W14" s="276" t="s">
        <v>24</v>
      </c>
      <c r="X14" s="278" t="s">
        <v>23</v>
      </c>
      <c r="Y14" s="275"/>
    </row>
    <row r="15" spans="1:25" ht="14" thickBot="1" x14ac:dyDescent="0.2">
      <c r="A15" s="291"/>
      <c r="B15" s="33" t="s">
        <v>12</v>
      </c>
      <c r="C15" s="34" t="s">
        <v>13</v>
      </c>
      <c r="D15" s="33" t="s">
        <v>12</v>
      </c>
      <c r="E15" s="35" t="s">
        <v>13</v>
      </c>
      <c r="F15" s="34" t="s">
        <v>12</v>
      </c>
      <c r="G15" s="34" t="s">
        <v>13</v>
      </c>
      <c r="H15" s="277"/>
      <c r="I15" s="279"/>
      <c r="J15" s="279"/>
      <c r="K15" s="277"/>
      <c r="L15" s="279"/>
      <c r="M15" s="279"/>
      <c r="N15" s="277"/>
      <c r="O15" s="279"/>
      <c r="P15" s="279"/>
      <c r="Q15" s="277"/>
      <c r="R15" s="279"/>
      <c r="S15" s="279"/>
      <c r="T15" s="277"/>
      <c r="U15" s="279"/>
      <c r="V15" s="279"/>
      <c r="W15" s="277"/>
      <c r="X15" s="279"/>
      <c r="Y15" s="275"/>
    </row>
    <row r="16" spans="1:25" x14ac:dyDescent="0.15">
      <c r="A16" s="191" t="s">
        <v>21</v>
      </c>
      <c r="B16" s="36">
        <f>IF(O5="gas",1.0943,2.2561)</f>
        <v>2.2561</v>
      </c>
      <c r="C16" s="37">
        <f>IF(O5="gas",0.403,0)</f>
        <v>0</v>
      </c>
      <c r="D16" s="38">
        <v>3.8090000000000002</v>
      </c>
      <c r="E16" s="39">
        <v>0</v>
      </c>
      <c r="F16" s="37">
        <f>IF(S5="gas",1.1877,0.92)</f>
        <v>0.92</v>
      </c>
      <c r="G16" s="37">
        <f>IF(S5="gas",1.013,0)</f>
        <v>0</v>
      </c>
      <c r="H16" s="40" t="e">
        <f t="shared" ref="H16:J18" si="1">C5/G5*N16</f>
        <v>#DIV/0!</v>
      </c>
      <c r="I16" s="37" t="e">
        <f t="shared" si="1"/>
        <v>#DIV/0!</v>
      </c>
      <c r="J16" s="37" t="e">
        <f t="shared" si="1"/>
        <v>#DIV/0!</v>
      </c>
      <c r="K16" s="40" t="e">
        <f>IF(O5="gas",1/P5,3.413/P5)</f>
        <v>#DIV/0!</v>
      </c>
      <c r="L16" s="37" t="e">
        <f>3.413/R5</f>
        <v>#DIV/0!</v>
      </c>
      <c r="M16" s="41" t="e">
        <f>1/T5</f>
        <v>#DIV/0!</v>
      </c>
      <c r="N16" s="37">
        <f>IF(O5="gas",1/0.78,3.413/7.7)</f>
        <v>0.44324675324675322</v>
      </c>
      <c r="O16" s="37">
        <f>3.413/13</f>
        <v>0.2625384615384615</v>
      </c>
      <c r="P16" s="37">
        <f>IF(S5="gas",1/0.59,1/0.92)</f>
        <v>1.0869565217391304</v>
      </c>
      <c r="Q16" s="51" t="e">
        <f>(B16*K16-C16)*(K5*G5*H16)/(K16*C5)</f>
        <v>#DIV/0!</v>
      </c>
      <c r="R16" s="52" t="e">
        <f>(D16*L16-E16)*(L5*H5*I16)/(L16*D5)</f>
        <v>#DIV/0!</v>
      </c>
      <c r="S16" s="52" t="e">
        <f>(F16*M16-G16)*(M5*I5*J16)/(M16*E5)</f>
        <v>#DIV/0!</v>
      </c>
      <c r="T16" s="51" t="e">
        <f>HERS_calcs!C5*(Q16/G5)</f>
        <v>#DIV/0!</v>
      </c>
      <c r="U16" s="52" t="e">
        <f>HERS_calcs!D5*(R16/H5)</f>
        <v>#DIV/0!</v>
      </c>
      <c r="V16" s="52" t="e">
        <f>HERS_calcs!E5*(S16/I5)</f>
        <v>#DIV/0!</v>
      </c>
      <c r="W16" s="40" t="e">
        <f>SUM(T16:V16)+N5</f>
        <v>#DIV/0!</v>
      </c>
      <c r="X16" s="37">
        <f>SUM(C5:E5)+F5</f>
        <v>0</v>
      </c>
      <c r="Y16" s="80"/>
    </row>
    <row r="17" spans="1:25" x14ac:dyDescent="0.15">
      <c r="A17" s="191" t="s">
        <v>22</v>
      </c>
      <c r="B17" s="40">
        <f>IF(O6="gas",1.0943,2.2561)</f>
        <v>2.2561</v>
      </c>
      <c r="C17" s="37">
        <f>IF(O6="gas",0.403,0)</f>
        <v>0</v>
      </c>
      <c r="D17" s="38">
        <v>3.8090000000000002</v>
      </c>
      <c r="E17" s="39">
        <v>0</v>
      </c>
      <c r="F17" s="37">
        <f>IF(S6="gas",1.1877,0.92)</f>
        <v>0.92</v>
      </c>
      <c r="G17" s="37">
        <f>IF(S6="gas",1.013,0)</f>
        <v>0</v>
      </c>
      <c r="H17" s="40" t="e">
        <f t="shared" si="1"/>
        <v>#DIV/0!</v>
      </c>
      <c r="I17" s="37" t="e">
        <f t="shared" si="1"/>
        <v>#DIV/0!</v>
      </c>
      <c r="J17" s="37" t="e">
        <f t="shared" si="1"/>
        <v>#DIV/0!</v>
      </c>
      <c r="K17" s="40" t="e">
        <f>IF(O6="gas",1/P6,3.413/P6)</f>
        <v>#DIV/0!</v>
      </c>
      <c r="L17" s="37" t="e">
        <f>3.413/R6</f>
        <v>#DIV/0!</v>
      </c>
      <c r="M17" s="41" t="e">
        <f>1/T6</f>
        <v>#DIV/0!</v>
      </c>
      <c r="N17" s="37">
        <f>IF(O6="gas",1/0.78,3.413/7.7)</f>
        <v>0.44324675324675322</v>
      </c>
      <c r="O17" s="37">
        <f>3.413/13</f>
        <v>0.2625384615384615</v>
      </c>
      <c r="P17" s="37">
        <f>IF(S6="gas",1/0.59,1/0.92)</f>
        <v>1.0869565217391304</v>
      </c>
      <c r="Q17" s="40" t="e">
        <f>(B17*K17-C17)*(K6*G6*H17)/(K17*C6)</f>
        <v>#DIV/0!</v>
      </c>
      <c r="R17" s="37" t="e">
        <f>(D17*L17-E17)*(L6*H6*I17)/(L17*D6)</f>
        <v>#DIV/0!</v>
      </c>
      <c r="S17" s="37" t="e">
        <f>(F17*M17-G17)*(M6*I6*J17)/(M17*E6)</f>
        <v>#DIV/0!</v>
      </c>
      <c r="T17" s="40" t="e">
        <f>HERS_calcs!C6*(Q17/G6)</f>
        <v>#DIV/0!</v>
      </c>
      <c r="U17" s="37" t="e">
        <f>HERS_calcs!D6*(R17/H6)</f>
        <v>#DIV/0!</v>
      </c>
      <c r="V17" s="37" t="e">
        <f>HERS_calcs!E6*(S17/I6)</f>
        <v>#DIV/0!</v>
      </c>
      <c r="W17" s="40" t="e">
        <f>SUM(T17:V17)+N6</f>
        <v>#DIV/0!</v>
      </c>
      <c r="X17" s="37" t="e">
        <f>SUM(C6:E6)+F6</f>
        <v>#DIV/0!</v>
      </c>
      <c r="Y17" s="80"/>
    </row>
    <row r="18" spans="1:25" ht="14" thickBot="1" x14ac:dyDescent="0.2">
      <c r="A18" s="192" t="s">
        <v>43</v>
      </c>
      <c r="B18" s="42">
        <f>IF(O7="gas",1.0943,2.2561)</f>
        <v>2.2561</v>
      </c>
      <c r="C18" s="43">
        <f>IF(O7="gas",0.403,0)</f>
        <v>0</v>
      </c>
      <c r="D18" s="44">
        <v>3.8090000000000002</v>
      </c>
      <c r="E18" s="45">
        <v>0</v>
      </c>
      <c r="F18" s="43">
        <f>IF(S7="gas",1.1877,0.92)</f>
        <v>0.92</v>
      </c>
      <c r="G18" s="43">
        <f>IF(S7="gas",1.013,0)</f>
        <v>0</v>
      </c>
      <c r="H18" s="42" t="e">
        <f t="shared" si="1"/>
        <v>#DIV/0!</v>
      </c>
      <c r="I18" s="43" t="e">
        <f t="shared" si="1"/>
        <v>#DIV/0!</v>
      </c>
      <c r="J18" s="43" t="e">
        <f t="shared" si="1"/>
        <v>#DIV/0!</v>
      </c>
      <c r="K18" s="42" t="e">
        <f>IF(O7="gas",1/P7,3.413/P7)</f>
        <v>#DIV/0!</v>
      </c>
      <c r="L18" s="43" t="e">
        <f>3.413/R7</f>
        <v>#DIV/0!</v>
      </c>
      <c r="M18" s="46" t="e">
        <f>1/T7</f>
        <v>#DIV/0!</v>
      </c>
      <c r="N18" s="43">
        <f>IF(O7="gas",1/0.78,3.413/7.7)</f>
        <v>0.44324675324675322</v>
      </c>
      <c r="O18" s="43">
        <f>3.413/13</f>
        <v>0.2625384615384615</v>
      </c>
      <c r="P18" s="43">
        <f>IF(S7="gas",1/0.59,1/0.92)</f>
        <v>1.0869565217391304</v>
      </c>
      <c r="Q18" s="42" t="e">
        <f>(B18*K18-C18)*(K7*G7*H18)/(K18*C7)</f>
        <v>#DIV/0!</v>
      </c>
      <c r="R18" s="43" t="e">
        <f>(D18*L18-E18)*(L7*H7*I18)/(L18*D7)</f>
        <v>#DIV/0!</v>
      </c>
      <c r="S18" s="43" t="e">
        <f>(F18*M18-G18)*(M7*I7*J18)/(M18*E7)</f>
        <v>#DIV/0!</v>
      </c>
      <c r="T18" s="42" t="e">
        <f>HERS_calcs!C7*(Q18/G7)</f>
        <v>#DIV/0!</v>
      </c>
      <c r="U18" s="43" t="e">
        <f>HERS_calcs!D7*(R18/H7)</f>
        <v>#DIV/0!</v>
      </c>
      <c r="V18" s="43" t="e">
        <f>HERS_calcs!E7*(S18/I7)</f>
        <v>#DIV/0!</v>
      </c>
      <c r="W18" s="42" t="e">
        <f>SUM(T18:V18)+N7</f>
        <v>#DIV/0!</v>
      </c>
      <c r="X18" s="43" t="e">
        <f>SUM(C7:E7)+F7</f>
        <v>#DIV/0!</v>
      </c>
      <c r="Y18" s="80"/>
    </row>
    <row r="19" spans="1:25" ht="14" thickTop="1" x14ac:dyDescent="0.15">
      <c r="W19" s="48"/>
      <c r="X19" s="48"/>
      <c r="Y19" s="48"/>
    </row>
    <row r="20" spans="1:25" x14ac:dyDescent="0.15">
      <c r="M20" s="48"/>
      <c r="S20" s="55"/>
    </row>
    <row r="21" spans="1:25" x14ac:dyDescent="0.15">
      <c r="M21" s="48"/>
      <c r="V21" s="79"/>
    </row>
  </sheetData>
  <sheetProtection algorithmName="SHA-512" hashValue="mRDrQr++6I1hvEBfFDDHTLmdR1pQch16c97lTFmzxGO5cxVwSKhAkk39dmdIE18I7YHSUHnSrYoMAgYOqpPGcw==" saltValue="MUTCecTyKxhfUSlz7Z9mvg==" spinCount="100000" sheet="1" objects="1" scenarios="1"/>
  <mergeCells count="30">
    <mergeCell ref="A1:C1"/>
    <mergeCell ref="U14:U15"/>
    <mergeCell ref="V14:V15"/>
    <mergeCell ref="W14:W15"/>
    <mergeCell ref="X14:X15"/>
    <mergeCell ref="O2:T2"/>
    <mergeCell ref="O3:P3"/>
    <mergeCell ref="Q3:R3"/>
    <mergeCell ref="S3:T3"/>
    <mergeCell ref="A13:A15"/>
    <mergeCell ref="W13:X13"/>
    <mergeCell ref="K2:N2"/>
    <mergeCell ref="C2:F2"/>
    <mergeCell ref="G2:J2"/>
    <mergeCell ref="A2:A4"/>
    <mergeCell ref="B2:B4"/>
    <mergeCell ref="Y13:Y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</mergeCells>
  <pageMargins left="0.75" right="0.75" top="1" bottom="1" header="0.5" footer="0.5"/>
  <pageSetup orientation="portrait"/>
  <headerFooter alignWithMargins="0"/>
  <ignoredErrors>
    <ignoredError sqref="B5:N5 B7:D7 F7:H7 J7:L7 B6:D6 N6 N7 K6:L6 G6:H6" unlockedFormula="1"/>
    <ignoredError sqref="E7 I7" formula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42</vt:i4>
      </vt:variant>
    </vt:vector>
  </HeadingPairs>
  <TitlesOfParts>
    <vt:vector size="47" baseType="lpstr">
      <vt:lpstr>Instructions</vt:lpstr>
      <vt:lpstr>Input Sheet</vt:lpstr>
      <vt:lpstr>Credit Report</vt:lpstr>
      <vt:lpstr>DWHR_calcs</vt:lpstr>
      <vt:lpstr>HERS_calcs</vt:lpstr>
      <vt:lpstr>ACY</vt:lpstr>
      <vt:lpstr>adjFmix</vt:lpstr>
      <vt:lpstr>AGC</vt:lpstr>
      <vt:lpstr>AplHW</vt:lpstr>
      <vt:lpstr>Bsmt</vt:lpstr>
      <vt:lpstr>CAPw</vt:lpstr>
      <vt:lpstr>CFA</vt:lpstr>
      <vt:lpstr>dWashEF</vt:lpstr>
      <vt:lpstr>dWcap</vt:lpstr>
      <vt:lpstr>DWHReff</vt:lpstr>
      <vt:lpstr>DWHRinT</vt:lpstr>
      <vt:lpstr>EC_ratio</vt:lpstr>
      <vt:lpstr>ECHW</vt:lpstr>
      <vt:lpstr>elec_cost</vt:lpstr>
      <vt:lpstr>Feff</vt:lpstr>
      <vt:lpstr>FixF</vt:lpstr>
      <vt:lpstr>Fmix</vt:lpstr>
      <vt:lpstr>gas_cost</vt:lpstr>
      <vt:lpstr>gpd_ratio</vt:lpstr>
      <vt:lpstr>HWgpd</vt:lpstr>
      <vt:lpstr>Ifrac</vt:lpstr>
      <vt:lpstr>Input_Errors</vt:lpstr>
      <vt:lpstr>LER</vt:lpstr>
      <vt:lpstr>LocF</vt:lpstr>
      <vt:lpstr>Nbr</vt:lpstr>
      <vt:lpstr>NCY</vt:lpstr>
      <vt:lpstr>Nfl</vt:lpstr>
      <vt:lpstr>pipeL</vt:lpstr>
      <vt:lpstr>PLC</vt:lpstr>
      <vt:lpstr>'Credit Report'!Print_Area</vt:lpstr>
      <vt:lpstr>Instructions!Print_Area</vt:lpstr>
      <vt:lpstr>RateEF</vt:lpstr>
      <vt:lpstr>refAplHW</vt:lpstr>
      <vt:lpstr>refECHW</vt:lpstr>
      <vt:lpstr>refHWgpd</vt:lpstr>
      <vt:lpstr>STDgpd</vt:lpstr>
      <vt:lpstr>Tavg</vt:lpstr>
      <vt:lpstr>Tmains</vt:lpstr>
      <vt:lpstr>Tset</vt:lpstr>
      <vt:lpstr>Tuse</vt:lpstr>
      <vt:lpstr>WHinT</vt:lpstr>
      <vt:lpstr>WHinTadj</vt:lpstr>
    </vt:vector>
  </TitlesOfParts>
  <Company>Architectural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Microsoft Office User</cp:lastModifiedBy>
  <cp:lastPrinted>2014-12-11T14:28:45Z</cp:lastPrinted>
  <dcterms:created xsi:type="dcterms:W3CDTF">2014-02-20T17:36:44Z</dcterms:created>
  <dcterms:modified xsi:type="dcterms:W3CDTF">2019-05-30T20:20:27Z</dcterms:modified>
</cp:coreProperties>
</file>