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codeName="{4470D2CD-2249-CD33-4A35-6F278624656F}"/>
  <workbookPr codeName="ThisWorkbook"/>
  <mc:AlternateContent xmlns:mc="http://schemas.openxmlformats.org/markup-compatibility/2006">
    <mc:Choice Requires="x15">
      <x15ac:absPath xmlns:x15ac="http://schemas.microsoft.com/office/spreadsheetml/2010/11/ac" url="https://usepa.sharepoint.com/sites/oar/ESRB/Shared Documents/ICF-ESRB Shared Files/ES Homes/Analysis/HVAC Grading (Std 310)/Supp Rscs/Data Tool/"/>
    </mc:Choice>
  </mc:AlternateContent>
  <xr:revisionPtr revIDLastSave="137" documentId="8_{07E67C27-DD56-43FB-B360-4308E8455BCA}" xr6:coauthVersionLast="45" xr6:coauthVersionMax="46" xr10:uidLastSave="{0A014523-9912-46FD-8E84-4592B4FF0132}"/>
  <bookViews>
    <workbookView xWindow="-120" yWindow="-120" windowWidth="29040" windowHeight="15990" tabRatio="684" activeTab="4" xr2:uid="{5CD55498-4F2B-4618-BDD6-A3E137087B36}"/>
  </bookViews>
  <sheets>
    <sheet name="About" sheetId="13" r:id="rId1"/>
    <sheet name="Project Summary" sheetId="14" r:id="rId2"/>
    <sheet name="1. HVAC Design Review" sheetId="4" r:id="rId3"/>
    <sheet name="2. Total Duct Leakage" sheetId="10" r:id="rId4"/>
    <sheet name="3. Blower Fan Airflow" sheetId="1" r:id="rId5"/>
    <sheet name="4. Blower Fan Watt Draw" sheetId="11" r:id="rId6"/>
    <sheet name="5. Refrigerant Charge" sheetId="3" r:id="rId7"/>
    <sheet name="Data Export" sheetId="15" r:id="rId8"/>
  </sheets>
  <externalReferences>
    <externalReference r:id="rId9"/>
  </externalReferences>
  <definedNames>
    <definedName name="_Ref507258316" localSheetId="5">'4. Blower Fan Watt Draw'!$B$14</definedName>
    <definedName name="_Ref507258329" localSheetId="5">'4. Blower Fan Watt Draw'!$B$20</definedName>
    <definedName name="_Ref507258348" localSheetId="5">'4. Blower Fan Watt Draw'!$B$26</definedName>
    <definedName name="Fault1">#REF!</definedName>
    <definedName name="Fault2">#REF!</definedName>
    <definedName name="Fault3" localSheetId="3">[1]Calculator!#REF!</definedName>
    <definedName name="Fault3" localSheetId="5">[1]Calculator!#REF!</definedName>
    <definedName name="Fault3">[1]Calculator!#REF!</definedName>
    <definedName name="Fault4" localSheetId="3">[1]Calculator!#REF!</definedName>
    <definedName name="Fault4" localSheetId="5">[1]Calculator!#REF!</definedName>
    <definedName name="Fault4">[1]Calculator!#REF!</definedName>
    <definedName name="Fault5" localSheetId="3">[1]Calculator!#REF!</definedName>
    <definedName name="Fault5" localSheetId="5">[1]Calculator!#REF!</definedName>
    <definedName name="Fault5">[1]Calculator!#REF!</definedName>
    <definedName name="Fault6" localSheetId="3">[1]Calculator!#REF!</definedName>
    <definedName name="Fault6" localSheetId="5">[1]Calculator!#REF!</definedName>
    <definedName name="Fault6">[1]Calculator!#REF!</definedName>
    <definedName name="FaultMax" localSheetId="3">#REF!</definedName>
    <definedName name="FaultMax" localSheetId="5">#REF!</definedName>
    <definedName name="FaultMax">#REF!</definedName>
    <definedName name="Faultmin" localSheetId="3">#REF!</definedName>
    <definedName name="Faultmin" localSheetId="5">#REF!</definedName>
    <definedName name="Faultmin">#REF!</definedName>
    <definedName name="FaultNameCheck" localSheetId="3">OFFSET([1]Lookup!#REF!,0,0,COUNTA([1]Lookup!#REF!)-COUNTBLANK([1]Lookup!#REF!),1)</definedName>
    <definedName name="FaultNameCheck" localSheetId="5">OFFSET([1]Lookup!#REF!,0,0,COUNTA([1]Lookup!#REF!)-COUNTBLANK([1]Lookup!#REF!),1)</definedName>
    <definedName name="FaultNameCheck">OFFSET([1]Lookup!#REF!,0,0,COUNTA([1]Lookup!#REF!)-COUNTBLANK([1]Lookup!#REF!),1)</definedName>
    <definedName name="FaultTranslate" localSheetId="3">[1]Lookup!#REF!</definedName>
    <definedName name="FaultTranslate" localSheetId="5">[1]Lookup!#REF!</definedName>
    <definedName name="FaultTranslate">[1]Lookup!#REF!</definedName>
    <definedName name="FirstTableLookup">#REF!</definedName>
    <definedName name="Npoints" localSheetId="3">#REF!</definedName>
    <definedName name="Npoints" localSheetId="5">#REF!</definedName>
    <definedName name="Npoints">#REF!</definedName>
    <definedName name="_xlnm.Print_Area" localSheetId="2">'1. HVAC Design Review'!$A$1:$R$152</definedName>
    <definedName name="_xlnm.Print_Area" localSheetId="3">'2. Total Duct Leakage'!$A:$I</definedName>
    <definedName name="_xlnm.Print_Area" localSheetId="4">'3. Blower Fan Airflow'!$A:$I</definedName>
    <definedName name="_xlnm.Print_Area" localSheetId="5">'4. Blower Fan Watt Draw'!$A:$I</definedName>
    <definedName name="_xlnm.Print_Area" localSheetId="6">'5. Refrigerant Charge'!$A:$I</definedName>
    <definedName name="_xlnm.Print_Area" localSheetId="0">About!$A$1:$O$56</definedName>
    <definedName name="_xlnm.Print_Area" localSheetId="7">'Data Export'!$A$1:$C$1</definedName>
    <definedName name="_xlnm.Print_Area" localSheetId="1">'Project Summary'!$A$1:$H$56</definedName>
    <definedName name="StateActual">#REF!</definedName>
    <definedName name="States">#REF!</definedName>
    <definedName name="Tin">#REF!</definedName>
    <definedName name="Tout_Cool">#REF!</definedName>
    <definedName name="Tout_Heat">#REF!</definedName>
    <definedName name="Tunit">#REF!</definedName>
    <definedName name="UnityLine" localSheetId="3">OFFSET('2. Total Duct Leakage'!Yaxis2,0,0,'2. Total Duct Leakage'!Npoints,1)</definedName>
    <definedName name="UnityLine" localSheetId="5">OFFSET('4. Blower Fan Watt Draw'!Yaxis2,0,0,'4. Blower Fan Watt Draw'!Npoints,1)</definedName>
    <definedName name="UnityLine">OFFSET(Yaxis2,0,0,Npoints,1)</definedName>
    <definedName name="Version">About!$F$42</definedName>
    <definedName name="xAxis" localSheetId="3">OFFSET('2. Total Duct Leakage'!xAxis1,0,0,'2. Total Duct Leakage'!Npoints,1)</definedName>
    <definedName name="xAxis" localSheetId="5">OFFSET('4. Blower Fan Watt Draw'!xAxis1,0,0,'4. Blower Fan Watt Draw'!Npoints,1)</definedName>
    <definedName name="xAxis">OFFSET(xAxis1,0,0,Npoints,1)</definedName>
    <definedName name="xAxis1" localSheetId="3">#REF!</definedName>
    <definedName name="xAxis1" localSheetId="5">#REF!</definedName>
    <definedName name="xAxis1">#REF!</definedName>
    <definedName name="yAxis" localSheetId="3">OFFSET('2. Total Duct Leakage'!yAxis1,0,0,'2. Total Duct Leakage'!Npoints,1)</definedName>
    <definedName name="yAxis" localSheetId="5">OFFSET('4. Blower Fan Watt Draw'!yAxis1,0,0,'4. Blower Fan Watt Draw'!Npoints,1)</definedName>
    <definedName name="yAxis">OFFSET(yAxis1,0,0,Npoints,1)</definedName>
    <definedName name="yAxis1" localSheetId="3">#REF!</definedName>
    <definedName name="yAxis1" localSheetId="5">#REF!</definedName>
    <definedName name="yAxis1">#REF!</definedName>
    <definedName name="Yaxis2" localSheetId="3">#REF!</definedName>
    <definedName name="Yaxis2" localSheetId="5">#REF!</definedName>
    <definedName name="Yaxis2">#REF!</definedName>
    <definedName name="Yaxis22" localSheetId="3">OFFSET('2. Total Duct Leakage'!Yaxis2,0,0,'2. Total Duct Leakage'!Npoints,1)</definedName>
    <definedName name="Yaxis22" localSheetId="5">OFFSET('4. Blower Fan Watt Draw'!Yaxis2,0,0,'4. Blower Fan Watt Draw'!Npoints,1)</definedName>
    <definedName name="Yaxis22">OFFSET(Yaxis2,0,0,Npoints,1)</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0" i="1" l="1"/>
  <c r="H65" i="1"/>
  <c r="F31" i="14"/>
  <c r="H41" i="1"/>
  <c r="D356" i="15"/>
  <c r="H34" i="1"/>
  <c r="F42" i="13"/>
  <c r="H19" i="10"/>
  <c r="C52" i="15"/>
  <c r="C51" i="15"/>
  <c r="C50" i="15"/>
  <c r="C319" i="15"/>
  <c r="C318" i="15"/>
  <c r="C317" i="15"/>
  <c r="C316" i="15"/>
  <c r="C315" i="15"/>
  <c r="C314" i="15"/>
  <c r="C313" i="15"/>
  <c r="C312" i="15"/>
  <c r="C311" i="15"/>
  <c r="C310" i="15"/>
  <c r="C243" i="15"/>
  <c r="C17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2" i="15"/>
  <c r="C241" i="15"/>
  <c r="C240" i="15"/>
  <c r="C239" i="15"/>
  <c r="C238" i="15"/>
  <c r="C237" i="15"/>
  <c r="F309" i="15"/>
  <c r="F308" i="15"/>
  <c r="E308" i="15"/>
  <c r="F307" i="15"/>
  <c r="E307" i="15"/>
  <c r="F306" i="15"/>
  <c r="E306" i="15"/>
  <c r="F305" i="15"/>
  <c r="F304" i="15"/>
  <c r="E304" i="15"/>
  <c r="F303" i="15"/>
  <c r="E303" i="15"/>
  <c r="F302" i="15"/>
  <c r="E302" i="15"/>
  <c r="F301" i="15"/>
  <c r="F300" i="15"/>
  <c r="E300" i="15"/>
  <c r="F299" i="15"/>
  <c r="E299" i="15"/>
  <c r="F298" i="15"/>
  <c r="E298" i="15"/>
  <c r="F297" i="15"/>
  <c r="F296" i="15"/>
  <c r="F295" i="15"/>
  <c r="F294" i="15"/>
  <c r="F293" i="15"/>
  <c r="F292" i="15"/>
  <c r="F291" i="15"/>
  <c r="F290" i="15"/>
  <c r="F289" i="15"/>
  <c r="F288" i="15"/>
  <c r="F287" i="15"/>
  <c r="E287" i="15"/>
  <c r="F286" i="15"/>
  <c r="F285" i="15"/>
  <c r="F284" i="15"/>
  <c r="E284" i="15"/>
  <c r="F283" i="15"/>
  <c r="F282" i="15"/>
  <c r="F281" i="15"/>
  <c r="E281" i="15"/>
  <c r="F280" i="15"/>
  <c r="F279" i="15"/>
  <c r="F278" i="15"/>
  <c r="E278" i="15"/>
  <c r="F277" i="15"/>
  <c r="E277" i="15"/>
  <c r="F276" i="15"/>
  <c r="F275" i="15"/>
  <c r="E275" i="15"/>
  <c r="F274" i="15"/>
  <c r="E274" i="15"/>
  <c r="F273" i="15"/>
  <c r="F272" i="15"/>
  <c r="E272" i="15"/>
  <c r="F271" i="15"/>
  <c r="E271" i="15"/>
  <c r="F270" i="15"/>
  <c r="F269" i="15"/>
  <c r="F268" i="15"/>
  <c r="F267" i="15"/>
  <c r="F266" i="15"/>
  <c r="F265" i="15"/>
  <c r="F264" i="15"/>
  <c r="F263" i="15"/>
  <c r="F262" i="15"/>
  <c r="F261" i="15"/>
  <c r="F260" i="15"/>
  <c r="F259" i="15"/>
  <c r="F258" i="15"/>
  <c r="F257" i="15"/>
  <c r="F256" i="15"/>
  <c r="F255" i="15"/>
  <c r="F254" i="15"/>
  <c r="F253" i="15"/>
  <c r="F252" i="15"/>
  <c r="F251" i="15"/>
  <c r="F250" i="15"/>
  <c r="F249" i="15"/>
  <c r="F248" i="15"/>
  <c r="F247" i="15"/>
  <c r="F246" i="15"/>
  <c r="F245" i="15"/>
  <c r="F244" i="15"/>
  <c r="F243" i="15"/>
  <c r="F242" i="15"/>
  <c r="F241" i="15"/>
  <c r="F240" i="15"/>
  <c r="F239" i="15"/>
  <c r="F238" i="15"/>
  <c r="F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69" i="15"/>
  <c r="C168" i="15"/>
  <c r="C167" i="15"/>
  <c r="C166" i="15"/>
  <c r="C165" i="15"/>
  <c r="C164" i="15"/>
  <c r="E235" i="15"/>
  <c r="E234" i="15"/>
  <c r="E233" i="15"/>
  <c r="E231" i="15"/>
  <c r="E230" i="15"/>
  <c r="E229" i="15"/>
  <c r="E227" i="15"/>
  <c r="E226" i="15"/>
  <c r="E225" i="15"/>
  <c r="F236" i="15"/>
  <c r="F235" i="15"/>
  <c r="F234" i="15"/>
  <c r="F233" i="15"/>
  <c r="F232" i="15"/>
  <c r="F231" i="15"/>
  <c r="F230" i="15"/>
  <c r="F229" i="15"/>
  <c r="F228" i="15"/>
  <c r="F227" i="15"/>
  <c r="F226" i="15"/>
  <c r="F225" i="15"/>
  <c r="F224" i="15"/>
  <c r="F223" i="15"/>
  <c r="F222" i="15"/>
  <c r="F215" i="15"/>
  <c r="F214" i="15"/>
  <c r="F213" i="15"/>
  <c r="F212" i="15"/>
  <c r="F211" i="15"/>
  <c r="F210" i="15"/>
  <c r="F209" i="15"/>
  <c r="F208" i="15"/>
  <c r="F207" i="15"/>
  <c r="F221" i="15"/>
  <c r="F220" i="15"/>
  <c r="F219" i="15"/>
  <c r="F218" i="15"/>
  <c r="F217" i="15"/>
  <c r="F216" i="15"/>
  <c r="E214" i="15"/>
  <c r="E211" i="15"/>
  <c r="E208" i="15"/>
  <c r="E205" i="15"/>
  <c r="E204" i="15"/>
  <c r="E202" i="15"/>
  <c r="E201" i="15"/>
  <c r="E199" i="15"/>
  <c r="E198" i="15"/>
  <c r="F206" i="15"/>
  <c r="F205" i="15"/>
  <c r="F204" i="15"/>
  <c r="F203" i="15"/>
  <c r="F202" i="15"/>
  <c r="F201" i="15"/>
  <c r="F200" i="15"/>
  <c r="F199" i="15"/>
  <c r="F198" i="15"/>
  <c r="F197" i="15"/>
  <c r="F196" i="15"/>
  <c r="F195" i="15"/>
  <c r="F194" i="15"/>
  <c r="F193" i="15"/>
  <c r="F192" i="15"/>
  <c r="F191" i="15"/>
  <c r="F190" i="15"/>
  <c r="F189" i="15"/>
  <c r="F188" i="15"/>
  <c r="F187" i="15"/>
  <c r="F186" i="15"/>
  <c r="F185" i="15"/>
  <c r="F184" i="15"/>
  <c r="F183" i="15"/>
  <c r="F182" i="15"/>
  <c r="F181" i="15"/>
  <c r="F180" i="15"/>
  <c r="F179" i="15"/>
  <c r="F178" i="15"/>
  <c r="F177" i="15"/>
  <c r="F176" i="15"/>
  <c r="F175" i="15"/>
  <c r="F174" i="15"/>
  <c r="F173" i="15"/>
  <c r="F172" i="15"/>
  <c r="F171" i="15"/>
  <c r="F164" i="15"/>
  <c r="F165" i="15"/>
  <c r="F166" i="15"/>
  <c r="F170" i="15"/>
  <c r="F169" i="15"/>
  <c r="F168" i="15"/>
  <c r="F167"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F161" i="15"/>
  <c r="D161" i="15"/>
  <c r="F160" i="15"/>
  <c r="D160" i="15"/>
  <c r="F159" i="15"/>
  <c r="D159" i="15"/>
  <c r="F158" i="15"/>
  <c r="D158" i="15"/>
  <c r="F157" i="15"/>
  <c r="D157" i="15"/>
  <c r="F156" i="15"/>
  <c r="E156" i="15"/>
  <c r="D156" i="15"/>
  <c r="F155" i="15"/>
  <c r="E155" i="15"/>
  <c r="D155" i="15"/>
  <c r="F154" i="15"/>
  <c r="D154" i="15"/>
  <c r="F153" i="15"/>
  <c r="E153" i="15"/>
  <c r="D153" i="15"/>
  <c r="F152" i="15"/>
  <c r="E152" i="15"/>
  <c r="D152" i="15"/>
  <c r="F151" i="15"/>
  <c r="D151" i="15"/>
  <c r="F150" i="15"/>
  <c r="E150" i="15"/>
  <c r="D150" i="15"/>
  <c r="F149" i="15"/>
  <c r="E149" i="15"/>
  <c r="D149" i="15"/>
  <c r="F148" i="15"/>
  <c r="D148" i="15"/>
  <c r="F147" i="15"/>
  <c r="E147" i="15"/>
  <c r="D147" i="15"/>
  <c r="F146" i="15"/>
  <c r="E146" i="15"/>
  <c r="D146" i="15"/>
  <c r="F145" i="15"/>
  <c r="D145" i="15"/>
  <c r="F144" i="15"/>
  <c r="E144" i="15"/>
  <c r="D144" i="15"/>
  <c r="F143" i="15"/>
  <c r="E143" i="15"/>
  <c r="D143" i="15"/>
  <c r="F142" i="15"/>
  <c r="D142" i="15"/>
  <c r="F141" i="15"/>
  <c r="E141" i="15"/>
  <c r="D141" i="15"/>
  <c r="F140" i="15"/>
  <c r="E140" i="15"/>
  <c r="D140" i="15"/>
  <c r="F139" i="15"/>
  <c r="D139" i="15"/>
  <c r="F138" i="15"/>
  <c r="D138" i="15"/>
  <c r="F137" i="15"/>
  <c r="D137" i="15"/>
  <c r="F136" i="15"/>
  <c r="C136" i="15"/>
  <c r="C114" i="15"/>
  <c r="C113" i="15"/>
  <c r="C112" i="15"/>
  <c r="C163" i="15"/>
  <c r="C162" i="15"/>
  <c r="F114" i="15"/>
  <c r="F113" i="15"/>
  <c r="F112" i="15"/>
  <c r="F89" i="15"/>
  <c r="F88" i="15"/>
  <c r="F87" i="15"/>
  <c r="F135" i="15"/>
  <c r="C135" i="15"/>
  <c r="F134" i="15"/>
  <c r="C134" i="15"/>
  <c r="F133" i="15"/>
  <c r="C133" i="15"/>
  <c r="F132" i="15"/>
  <c r="C132" i="15"/>
  <c r="F131" i="15"/>
  <c r="E131" i="15"/>
  <c r="C131" i="15"/>
  <c r="F130" i="15"/>
  <c r="E130" i="15"/>
  <c r="C130" i="15"/>
  <c r="F129" i="15"/>
  <c r="C129" i="15"/>
  <c r="F128" i="15"/>
  <c r="E128" i="15"/>
  <c r="C128" i="15"/>
  <c r="F127" i="15"/>
  <c r="E127" i="15"/>
  <c r="C127" i="15"/>
  <c r="F126" i="15"/>
  <c r="C126" i="15"/>
  <c r="F125" i="15"/>
  <c r="E125" i="15"/>
  <c r="C125" i="15"/>
  <c r="F124" i="15"/>
  <c r="E124" i="15"/>
  <c r="C124" i="15"/>
  <c r="F123" i="15"/>
  <c r="C123" i="15"/>
  <c r="F122" i="15"/>
  <c r="E122" i="15"/>
  <c r="C122" i="15"/>
  <c r="F121" i="15"/>
  <c r="E121" i="15"/>
  <c r="C121" i="15"/>
  <c r="F120" i="15"/>
  <c r="C120" i="15"/>
  <c r="F119" i="15"/>
  <c r="E119" i="15"/>
  <c r="C119" i="15"/>
  <c r="F118" i="15"/>
  <c r="E118" i="15"/>
  <c r="C118" i="15"/>
  <c r="F117" i="15"/>
  <c r="C117" i="15"/>
  <c r="F116" i="15"/>
  <c r="E116" i="15"/>
  <c r="C116" i="15"/>
  <c r="F115" i="15"/>
  <c r="E115" i="15"/>
  <c r="C115" i="15"/>
  <c r="C86" i="15"/>
  <c r="F111" i="15"/>
  <c r="F110" i="15"/>
  <c r="F109" i="15"/>
  <c r="F108" i="15"/>
  <c r="F107" i="15"/>
  <c r="F106" i="15"/>
  <c r="E106" i="15"/>
  <c r="F105" i="15"/>
  <c r="E105" i="15"/>
  <c r="F104" i="15"/>
  <c r="F103" i="15"/>
  <c r="E103" i="15"/>
  <c r="F102" i="15"/>
  <c r="E102" i="15"/>
  <c r="F101" i="15"/>
  <c r="F100" i="15"/>
  <c r="F99" i="15"/>
  <c r="E100" i="15"/>
  <c r="E99" i="15"/>
  <c r="F98" i="15"/>
  <c r="F97" i="15"/>
  <c r="E97" i="15"/>
  <c r="F96" i="15"/>
  <c r="E96" i="15"/>
  <c r="F95" i="15"/>
  <c r="F94" i="15"/>
  <c r="E94" i="15"/>
  <c r="F93" i="15"/>
  <c r="E93" i="15"/>
  <c r="F92" i="15"/>
  <c r="F91" i="15"/>
  <c r="F90" i="15"/>
  <c r="E90" i="15"/>
  <c r="E91" i="15"/>
  <c r="C111" i="15"/>
  <c r="C110" i="15"/>
  <c r="C109" i="15"/>
  <c r="C108" i="15"/>
  <c r="C107" i="15"/>
  <c r="C104" i="15"/>
  <c r="C101" i="15"/>
  <c r="C98" i="15"/>
  <c r="C106" i="15"/>
  <c r="C105" i="15"/>
  <c r="C103" i="15"/>
  <c r="C102" i="15"/>
  <c r="C100" i="15"/>
  <c r="C99" i="15"/>
  <c r="C97" i="15"/>
  <c r="C96" i="15"/>
  <c r="C95" i="15"/>
  <c r="C94" i="15"/>
  <c r="C93" i="15"/>
  <c r="C92" i="15"/>
  <c r="C91" i="15"/>
  <c r="C90" i="15"/>
  <c r="C89" i="15"/>
  <c r="C88" i="15"/>
  <c r="C87" i="15"/>
  <c r="C85" i="15"/>
  <c r="F73" i="15"/>
  <c r="C84" i="15"/>
  <c r="C83" i="15"/>
  <c r="C82" i="15"/>
  <c r="C81" i="15"/>
  <c r="C80" i="15"/>
  <c r="C79" i="15"/>
  <c r="C78" i="15"/>
  <c r="C77" i="15"/>
  <c r="C76" i="15"/>
  <c r="C75" i="15"/>
  <c r="C74" i="15"/>
  <c r="C73" i="15"/>
  <c r="C72" i="15"/>
  <c r="C71" i="15"/>
  <c r="C70" i="15"/>
  <c r="F84" i="15"/>
  <c r="F83" i="15"/>
  <c r="F82" i="15"/>
  <c r="E82" i="15"/>
  <c r="F81" i="15"/>
  <c r="E81" i="15"/>
  <c r="F80" i="15"/>
  <c r="E80" i="15"/>
  <c r="F79" i="15"/>
  <c r="E79" i="15"/>
  <c r="F78" i="15"/>
  <c r="E78" i="15"/>
  <c r="F77" i="15"/>
  <c r="E77" i="15"/>
  <c r="F76" i="15"/>
  <c r="E76" i="15"/>
  <c r="F75" i="15"/>
  <c r="E75" i="15"/>
  <c r="F74" i="15"/>
  <c r="E74" i="15"/>
  <c r="F72" i="15"/>
  <c r="F71" i="15"/>
  <c r="C69" i="15"/>
  <c r="F70" i="15"/>
  <c r="F69" i="15"/>
  <c r="E68" i="15"/>
  <c r="E67" i="15"/>
  <c r="E66" i="15"/>
  <c r="E65" i="15"/>
  <c r="E64" i="15"/>
  <c r="E63" i="15"/>
  <c r="E62" i="15"/>
  <c r="F68" i="15"/>
  <c r="F67" i="15"/>
  <c r="F66" i="15"/>
  <c r="F65" i="15"/>
  <c r="F64" i="15"/>
  <c r="F63" i="15"/>
  <c r="F62" i="15"/>
  <c r="F61" i="15"/>
  <c r="F60" i="15"/>
  <c r="E60" i="15"/>
  <c r="E61" i="15"/>
  <c r="C68" i="15"/>
  <c r="C67" i="15"/>
  <c r="C66" i="15"/>
  <c r="C65" i="15"/>
  <c r="C64" i="15"/>
  <c r="C63" i="15"/>
  <c r="C62" i="15"/>
  <c r="C61" i="15"/>
  <c r="C60" i="15"/>
  <c r="C59" i="15"/>
  <c r="F57" i="15"/>
  <c r="F58" i="15"/>
  <c r="C58" i="15"/>
  <c r="C57" i="15"/>
  <c r="C5" i="15"/>
  <c r="C56" i="15"/>
  <c r="C55" i="15"/>
  <c r="C4" i="15"/>
  <c r="C3" i="15"/>
  <c r="C54" i="15"/>
  <c r="C53" i="15"/>
  <c r="C29" i="15"/>
  <c r="C28" i="15"/>
  <c r="C49" i="15"/>
  <c r="C48" i="15"/>
  <c r="C47" i="15"/>
  <c r="C46" i="15"/>
  <c r="C45" i="15"/>
  <c r="C44" i="15"/>
  <c r="C43" i="15"/>
  <c r="C42" i="15"/>
  <c r="C41" i="15"/>
  <c r="C40" i="15"/>
  <c r="C39" i="15"/>
  <c r="C38" i="15"/>
  <c r="C37" i="15"/>
  <c r="C36" i="15"/>
  <c r="C35" i="15"/>
  <c r="C34" i="15"/>
  <c r="C33" i="15"/>
  <c r="C32" i="15"/>
  <c r="C31" i="15"/>
  <c r="C30" i="15"/>
  <c r="F54" i="15"/>
  <c r="F53" i="15"/>
  <c r="F52" i="15"/>
  <c r="F51" i="15"/>
  <c r="F50" i="15"/>
  <c r="F49" i="15"/>
  <c r="F48" i="15"/>
  <c r="E48" i="15"/>
  <c r="F47" i="15"/>
  <c r="E47" i="15"/>
  <c r="F46" i="15"/>
  <c r="F45" i="15"/>
  <c r="E45" i="15"/>
  <c r="F44" i="15"/>
  <c r="E44" i="15"/>
  <c r="F43" i="15"/>
  <c r="F42" i="15"/>
  <c r="E42" i="15"/>
  <c r="F41" i="15"/>
  <c r="E41" i="15"/>
  <c r="F40" i="15"/>
  <c r="F39" i="15"/>
  <c r="E39" i="15"/>
  <c r="F38" i="15"/>
  <c r="E38" i="15"/>
  <c r="F37" i="15"/>
  <c r="F36" i="15"/>
  <c r="E36" i="15"/>
  <c r="F35" i="15"/>
  <c r="E35" i="15"/>
  <c r="F34" i="15"/>
  <c r="F33" i="15"/>
  <c r="E33" i="15"/>
  <c r="F32" i="15"/>
  <c r="E32" i="15"/>
  <c r="F31" i="15"/>
  <c r="F30" i="15"/>
  <c r="F5" i="15"/>
  <c r="F6" i="15"/>
  <c r="E7" i="15"/>
  <c r="F7" i="15"/>
  <c r="E8" i="15"/>
  <c r="F8" i="15"/>
  <c r="F9" i="15"/>
  <c r="E10" i="15"/>
  <c r="F10" i="15"/>
  <c r="E11" i="15"/>
  <c r="F11" i="15"/>
  <c r="F12" i="15"/>
  <c r="E13" i="15"/>
  <c r="F13" i="15"/>
  <c r="E14" i="15"/>
  <c r="F14" i="15"/>
  <c r="F15" i="15"/>
  <c r="E16" i="15"/>
  <c r="F16" i="15"/>
  <c r="E17" i="15"/>
  <c r="F17" i="15"/>
  <c r="F18" i="15"/>
  <c r="E19" i="15"/>
  <c r="F19" i="15"/>
  <c r="E20" i="15"/>
  <c r="F20" i="15"/>
  <c r="F21" i="15"/>
  <c r="E22" i="15"/>
  <c r="F22" i="15"/>
  <c r="E23" i="15"/>
  <c r="F23" i="15"/>
  <c r="F24" i="15"/>
  <c r="F25" i="15"/>
  <c r="F26" i="15"/>
  <c r="F27" i="15"/>
  <c r="F28" i="15"/>
  <c r="F29" i="15"/>
  <c r="C27" i="15"/>
  <c r="C26" i="15"/>
  <c r="C25" i="15"/>
  <c r="C24" i="15"/>
  <c r="C23" i="15"/>
  <c r="C22" i="15"/>
  <c r="C21" i="15"/>
  <c r="C20" i="15"/>
  <c r="C19" i="15"/>
  <c r="C18" i="15"/>
  <c r="C17" i="15"/>
  <c r="C16" i="15"/>
  <c r="C15" i="15"/>
  <c r="C14" i="15"/>
  <c r="C13" i="15"/>
  <c r="C12" i="15"/>
  <c r="C11" i="15"/>
  <c r="C10" i="15"/>
  <c r="C9" i="15"/>
  <c r="C8" i="15"/>
  <c r="C7" i="15"/>
  <c r="C6" i="15"/>
  <c r="O107" i="4"/>
  <c r="O109" i="4"/>
  <c r="O112" i="4"/>
  <c r="O114" i="4"/>
  <c r="P150" i="4"/>
  <c r="P151" i="4"/>
  <c r="D319" i="15"/>
  <c r="D318" i="15"/>
  <c r="D317" i="15"/>
  <c r="D316" i="15"/>
  <c r="D315" i="15"/>
  <c r="D309" i="15"/>
  <c r="D308" i="15"/>
  <c r="D307" i="15"/>
  <c r="D306" i="15"/>
  <c r="D297" i="15"/>
  <c r="D296" i="15"/>
  <c r="D295" i="15"/>
  <c r="D294" i="15"/>
  <c r="D293" i="15"/>
  <c r="D288" i="15"/>
  <c r="D287" i="15"/>
  <c r="D286" i="15"/>
  <c r="D279" i="15"/>
  <c r="D278" i="15"/>
  <c r="D277" i="15"/>
  <c r="D270" i="15"/>
  <c r="D269" i="15"/>
  <c r="D268" i="15"/>
  <c r="D261" i="15"/>
  <c r="D260" i="15"/>
  <c r="D259" i="15"/>
  <c r="D252" i="15"/>
  <c r="D251" i="15"/>
  <c r="D250" i="15"/>
  <c r="D243" i="15"/>
  <c r="D242" i="15"/>
  <c r="D241" i="15"/>
  <c r="D240" i="15"/>
  <c r="D239" i="15"/>
  <c r="D238" i="15"/>
  <c r="D237" i="15"/>
  <c r="D163" i="15"/>
  <c r="D162" i="15"/>
  <c r="D136" i="15"/>
  <c r="D135" i="15"/>
  <c r="D132" i="15"/>
  <c r="D131" i="15"/>
  <c r="D130" i="15"/>
  <c r="D123" i="15"/>
  <c r="D122" i="15"/>
  <c r="D121" i="15"/>
  <c r="D114" i="15"/>
  <c r="D113" i="15"/>
  <c r="D112" i="15"/>
  <c r="D86" i="15"/>
  <c r="D85" i="15"/>
  <c r="D84" i="15"/>
  <c r="D83" i="15"/>
  <c r="D82" i="15"/>
  <c r="D81" i="15"/>
  <c r="D80" i="15"/>
  <c r="D73" i="15"/>
  <c r="D72" i="15"/>
  <c r="D71" i="15"/>
  <c r="D56" i="15"/>
  <c r="D55" i="15"/>
  <c r="D54" i="15"/>
  <c r="D53" i="15"/>
  <c r="D52" i="15"/>
  <c r="D49" i="15"/>
  <c r="D48" i="15"/>
  <c r="D47" i="15"/>
  <c r="D40" i="15"/>
  <c r="D39" i="15"/>
  <c r="D38" i="15"/>
  <c r="D31" i="15"/>
  <c r="D30" i="15"/>
  <c r="D4" i="15"/>
  <c r="D3" i="15"/>
  <c r="F59" i="15"/>
  <c r="J109" i="4"/>
  <c r="J114" i="4"/>
  <c r="K150" i="4"/>
  <c r="K151" i="4"/>
  <c r="D314" i="15"/>
  <c r="D313" i="15"/>
  <c r="D312" i="15"/>
  <c r="D311" i="15"/>
  <c r="D310" i="15"/>
  <c r="D305" i="15"/>
  <c r="D301" i="15"/>
  <c r="D236" i="15"/>
  <c r="D232" i="15"/>
  <c r="D228" i="15"/>
  <c r="D304" i="15"/>
  <c r="D300" i="15"/>
  <c r="D235" i="15"/>
  <c r="D231" i="15"/>
  <c r="D227" i="15"/>
  <c r="D303" i="15"/>
  <c r="D299" i="15"/>
  <c r="D234" i="15"/>
  <c r="D230" i="15"/>
  <c r="D226" i="15"/>
  <c r="D302" i="15"/>
  <c r="D298" i="15"/>
  <c r="D233" i="15"/>
  <c r="D229" i="15"/>
  <c r="D225" i="15"/>
  <c r="D224" i="15"/>
  <c r="D223" i="15"/>
  <c r="D222" i="15"/>
  <c r="D292" i="15"/>
  <c r="D290" i="15"/>
  <c r="D221" i="15"/>
  <c r="D219" i="15"/>
  <c r="D217" i="15"/>
  <c r="D291" i="15"/>
  <c r="D289" i="15"/>
  <c r="D220" i="15"/>
  <c r="D218" i="15"/>
  <c r="D216" i="15"/>
  <c r="D285" i="15"/>
  <c r="D282" i="15"/>
  <c r="D215" i="15"/>
  <c r="D212" i="15"/>
  <c r="D209" i="15"/>
  <c r="D284" i="15"/>
  <c r="D281" i="15"/>
  <c r="D214" i="15"/>
  <c r="D211" i="15"/>
  <c r="D208" i="15"/>
  <c r="D283" i="15"/>
  <c r="D280" i="15"/>
  <c r="D213" i="15"/>
  <c r="D210" i="15"/>
  <c r="D207" i="15"/>
  <c r="D276" i="15"/>
  <c r="D273" i="15"/>
  <c r="D206" i="15"/>
  <c r="D203" i="15"/>
  <c r="D200" i="15"/>
  <c r="D275" i="15"/>
  <c r="D272" i="15"/>
  <c r="D205" i="15"/>
  <c r="D202" i="15"/>
  <c r="D199" i="15"/>
  <c r="D274" i="15"/>
  <c r="D271" i="15"/>
  <c r="D204" i="15"/>
  <c r="D201" i="15"/>
  <c r="D198" i="15"/>
  <c r="D267" i="15"/>
  <c r="D264" i="15"/>
  <c r="D197" i="15"/>
  <c r="D194" i="15"/>
  <c r="D191" i="15"/>
  <c r="D266" i="15"/>
  <c r="D263" i="15"/>
  <c r="D196" i="15"/>
  <c r="D193" i="15"/>
  <c r="D190" i="15"/>
  <c r="D265" i="15"/>
  <c r="D262" i="15"/>
  <c r="D195" i="15"/>
  <c r="D192" i="15"/>
  <c r="D189" i="15"/>
  <c r="D258" i="15"/>
  <c r="D255" i="15"/>
  <c r="D188" i="15"/>
  <c r="D185" i="15"/>
  <c r="D182" i="15"/>
  <c r="D257" i="15"/>
  <c r="D254" i="15"/>
  <c r="D187" i="15"/>
  <c r="D184" i="15"/>
  <c r="D181" i="15"/>
  <c r="D256" i="15"/>
  <c r="D253" i="15"/>
  <c r="D186" i="15"/>
  <c r="D183" i="15"/>
  <c r="D180" i="15"/>
  <c r="D249" i="15"/>
  <c r="D246" i="15"/>
  <c r="D179" i="15"/>
  <c r="D176" i="15"/>
  <c r="D173" i="15"/>
  <c r="D248" i="15"/>
  <c r="D245" i="15"/>
  <c r="D178" i="15"/>
  <c r="D175" i="15"/>
  <c r="D172" i="15"/>
  <c r="D247" i="15"/>
  <c r="D244" i="15"/>
  <c r="D177" i="15"/>
  <c r="D174" i="15"/>
  <c r="D171" i="15"/>
  <c r="D170" i="15"/>
  <c r="D169" i="15"/>
  <c r="D168" i="15"/>
  <c r="D167" i="15"/>
  <c r="D166" i="15"/>
  <c r="D165" i="15"/>
  <c r="D164" i="15"/>
  <c r="D111" i="15"/>
  <c r="D134" i="15"/>
  <c r="D133" i="15"/>
  <c r="D110" i="15"/>
  <c r="D109" i="15"/>
  <c r="D108" i="15"/>
  <c r="D129" i="15"/>
  <c r="D126" i="15"/>
  <c r="D107" i="15"/>
  <c r="D104" i="15"/>
  <c r="D101" i="15"/>
  <c r="D128" i="15"/>
  <c r="D125" i="15"/>
  <c r="D106" i="15"/>
  <c r="D103" i="15"/>
  <c r="D100" i="15"/>
  <c r="D127" i="15"/>
  <c r="D124" i="15"/>
  <c r="D105" i="15"/>
  <c r="D102" i="15"/>
  <c r="D99" i="15"/>
  <c r="D120" i="15"/>
  <c r="D117" i="15"/>
  <c r="D98" i="15"/>
  <c r="D95" i="15"/>
  <c r="D92" i="15"/>
  <c r="D119" i="15"/>
  <c r="D116" i="15"/>
  <c r="D97" i="15"/>
  <c r="D94" i="15"/>
  <c r="D91" i="15"/>
  <c r="D118" i="15"/>
  <c r="D115" i="15"/>
  <c r="D96" i="15"/>
  <c r="D93" i="15"/>
  <c r="D90" i="15"/>
  <c r="D89" i="15"/>
  <c r="D88" i="15"/>
  <c r="D87" i="15"/>
  <c r="D70" i="15"/>
  <c r="D69" i="15"/>
  <c r="D79" i="15"/>
  <c r="D76" i="15"/>
  <c r="D68" i="15"/>
  <c r="D65" i="15"/>
  <c r="D62" i="15"/>
  <c r="D78" i="15"/>
  <c r="D75" i="15"/>
  <c r="D67" i="15"/>
  <c r="D64" i="15"/>
  <c r="D61" i="15"/>
  <c r="D77" i="15"/>
  <c r="D74" i="15"/>
  <c r="D66" i="15"/>
  <c r="D63" i="15"/>
  <c r="D60" i="15"/>
  <c r="D59" i="15"/>
  <c r="D58" i="15"/>
  <c r="D57" i="15"/>
  <c r="D29" i="15"/>
  <c r="D28" i="15"/>
  <c r="D51" i="15"/>
  <c r="D50" i="15"/>
  <c r="D27" i="15"/>
  <c r="D26" i="15"/>
  <c r="D25" i="15"/>
  <c r="D46" i="15"/>
  <c r="D43" i="15"/>
  <c r="D24" i="15"/>
  <c r="D21" i="15"/>
  <c r="D18" i="15"/>
  <c r="D45" i="15"/>
  <c r="D42" i="15"/>
  <c r="D23" i="15"/>
  <c r="D20" i="15"/>
  <c r="D17" i="15"/>
  <c r="D44" i="15"/>
  <c r="D41" i="15"/>
  <c r="D22" i="15"/>
  <c r="D19" i="15"/>
  <c r="D16" i="15"/>
  <c r="D37" i="15"/>
  <c r="D34" i="15"/>
  <c r="D15" i="15"/>
  <c r="D12" i="15"/>
  <c r="D9" i="15"/>
  <c r="D36" i="15"/>
  <c r="D33" i="15"/>
  <c r="D14" i="15"/>
  <c r="D11" i="15"/>
  <c r="D8" i="15"/>
  <c r="D35" i="15"/>
  <c r="D32" i="15"/>
  <c r="D13" i="15"/>
  <c r="D10" i="15"/>
  <c r="D7" i="15"/>
  <c r="D6" i="15"/>
  <c r="D5" i="15"/>
  <c r="P86" i="4"/>
  <c r="N102" i="4"/>
  <c r="O102" i="4"/>
  <c r="N104" i="4"/>
  <c r="O104" i="4"/>
  <c r="N128" i="4"/>
  <c r="O128" i="4"/>
  <c r="N129" i="4"/>
  <c r="O129" i="4"/>
  <c r="K131" i="4"/>
  <c r="P131" i="4"/>
  <c r="N139" i="4"/>
  <c r="O139" i="4"/>
  <c r="N140" i="4"/>
  <c r="O140" i="4"/>
  <c r="I142" i="4"/>
  <c r="N142" i="4"/>
  <c r="J142" i="4"/>
  <c r="O142" i="4"/>
  <c r="P149" i="4"/>
  <c r="P148" i="4"/>
  <c r="P12" i="4"/>
  <c r="P13" i="4"/>
  <c r="P147" i="4"/>
  <c r="N118" i="4"/>
  <c r="N120" i="4"/>
  <c r="N123" i="4"/>
  <c r="N125" i="4"/>
  <c r="I120" i="4"/>
  <c r="I125" i="4"/>
  <c r="I104" i="4"/>
  <c r="J104" i="4"/>
  <c r="P60" i="4"/>
  <c r="P61" i="4"/>
  <c r="P37" i="4"/>
  <c r="P38" i="4"/>
  <c r="P123" i="4"/>
  <c r="P125" i="4"/>
  <c r="O123" i="4"/>
  <c r="O125" i="4"/>
  <c r="K125" i="4"/>
  <c r="J125" i="4"/>
  <c r="P92" i="4"/>
  <c r="P93" i="4"/>
  <c r="P96" i="4"/>
  <c r="P98" i="4"/>
  <c r="P99" i="4"/>
  <c r="P102" i="4"/>
  <c r="P104" i="4"/>
  <c r="N107" i="4"/>
  <c r="P107" i="4"/>
  <c r="N109" i="4"/>
  <c r="P109" i="4"/>
  <c r="N112" i="4"/>
  <c r="P112" i="4"/>
  <c r="N114" i="4"/>
  <c r="P114" i="4"/>
  <c r="O118" i="4"/>
  <c r="P118" i="4"/>
  <c r="O120" i="4"/>
  <c r="P120" i="4"/>
  <c r="P128" i="4"/>
  <c r="P129" i="4"/>
  <c r="P139" i="4"/>
  <c r="P140" i="4"/>
  <c r="N141" i="4"/>
  <c r="O141" i="4"/>
  <c r="P141" i="4"/>
  <c r="K142" i="4"/>
  <c r="P142" i="4"/>
  <c r="N51" i="4"/>
  <c r="O51" i="4"/>
  <c r="P51" i="4"/>
  <c r="N53" i="4"/>
  <c r="O53" i="4"/>
  <c r="P53" i="4"/>
  <c r="P58" i="4"/>
  <c r="N21" i="4"/>
  <c r="N23" i="4"/>
  <c r="P23" i="4"/>
  <c r="P28" i="4"/>
  <c r="N26" i="4"/>
  <c r="N28" i="4"/>
  <c r="N70" i="4"/>
  <c r="N72" i="4"/>
  <c r="N75" i="4"/>
  <c r="N77" i="4"/>
  <c r="H4" i="10"/>
  <c r="P89" i="4"/>
  <c r="O70" i="4"/>
  <c r="O72" i="4"/>
  <c r="P70" i="4"/>
  <c r="P72" i="4"/>
  <c r="O75" i="4"/>
  <c r="O77" i="4"/>
  <c r="P75" i="4"/>
  <c r="P77" i="4"/>
  <c r="N81" i="4"/>
  <c r="O81" i="4"/>
  <c r="P81" i="4"/>
  <c r="I72" i="4"/>
  <c r="J72" i="4"/>
  <c r="K72" i="4"/>
  <c r="I77" i="4"/>
  <c r="J77" i="4"/>
  <c r="K77" i="4"/>
  <c r="K149" i="4"/>
  <c r="I53" i="4"/>
  <c r="J53" i="4"/>
  <c r="K53" i="4"/>
  <c r="K148" i="4"/>
  <c r="N32" i="4"/>
  <c r="O32" i="4"/>
  <c r="P32" i="4"/>
  <c r="O21" i="4"/>
  <c r="O23" i="4"/>
  <c r="P21" i="4"/>
  <c r="O26" i="4"/>
  <c r="P26" i="4"/>
  <c r="O28" i="4"/>
  <c r="P35" i="4"/>
  <c r="I23" i="4"/>
  <c r="J23" i="4"/>
  <c r="K23" i="4"/>
  <c r="I28" i="4"/>
  <c r="J28" i="4"/>
  <c r="K28" i="4"/>
  <c r="K147" i="4"/>
  <c r="H81" i="3"/>
  <c r="H52" i="3"/>
  <c r="H51" i="3"/>
  <c r="H90" i="3"/>
  <c r="D445" i="15"/>
  <c r="H84" i="3"/>
  <c r="D444" i="15"/>
  <c r="H99" i="3"/>
  <c r="K114" i="4"/>
  <c r="K98" i="4"/>
  <c r="K99" i="4"/>
  <c r="K104" i="4"/>
  <c r="I109" i="4"/>
  <c r="K109" i="4"/>
  <c r="I114" i="4"/>
  <c r="J120" i="4"/>
  <c r="K120" i="4"/>
  <c r="C324" i="15"/>
  <c r="C323" i="15"/>
  <c r="F324" i="15"/>
  <c r="F323" i="15"/>
  <c r="D324" i="15"/>
  <c r="F341" i="15"/>
  <c r="C341" i="15"/>
  <c r="H17" i="1"/>
  <c r="H15" i="1"/>
  <c r="D338" i="15"/>
  <c r="F26" i="14"/>
  <c r="H11" i="10"/>
  <c r="D323" i="15"/>
  <c r="F19" i="14"/>
  <c r="F320" i="15"/>
  <c r="C351" i="15"/>
  <c r="C361" i="15"/>
  <c r="C360" i="15"/>
  <c r="C359" i="15"/>
  <c r="C358" i="15"/>
  <c r="C357" i="15"/>
  <c r="C352" i="15"/>
  <c r="C353" i="15"/>
  <c r="C354" i="15"/>
  <c r="C355" i="15"/>
  <c r="C356" i="15"/>
  <c r="C372" i="15"/>
  <c r="C371" i="15"/>
  <c r="C370" i="15"/>
  <c r="C369" i="15"/>
  <c r="C368" i="15"/>
  <c r="C367" i="15"/>
  <c r="C366" i="15"/>
  <c r="C365" i="15"/>
  <c r="C364" i="15"/>
  <c r="C363" i="15"/>
  <c r="C362" i="15"/>
  <c r="C346" i="15"/>
  <c r="C347" i="15"/>
  <c r="C348" i="15"/>
  <c r="C349" i="15"/>
  <c r="C350" i="15"/>
  <c r="F372" i="15"/>
  <c r="F371" i="15"/>
  <c r="F370" i="15"/>
  <c r="F369" i="15"/>
  <c r="F368" i="15"/>
  <c r="F367" i="15"/>
  <c r="F366" i="15"/>
  <c r="F365" i="15"/>
  <c r="F364" i="15"/>
  <c r="F363" i="15"/>
  <c r="F362" i="15"/>
  <c r="F361" i="15"/>
  <c r="F357" i="15"/>
  <c r="F356" i="15"/>
  <c r="F355" i="15"/>
  <c r="F354" i="15"/>
  <c r="F353" i="15"/>
  <c r="F352" i="15"/>
  <c r="F351" i="15"/>
  <c r="F350" i="15"/>
  <c r="F349" i="15"/>
  <c r="F348" i="15"/>
  <c r="F347" i="15"/>
  <c r="F346" i="15"/>
  <c r="E372" i="15"/>
  <c r="E371" i="15"/>
  <c r="E370" i="15"/>
  <c r="E368" i="15"/>
  <c r="E366" i="15"/>
  <c r="E364" i="15"/>
  <c r="E361" i="15"/>
  <c r="E360" i="15"/>
  <c r="E359" i="15"/>
  <c r="E358" i="15"/>
  <c r="E357" i="15"/>
  <c r="E356" i="15"/>
  <c r="E355" i="15"/>
  <c r="E354" i="15"/>
  <c r="E352" i="15"/>
  <c r="E351" i="15"/>
  <c r="E350" i="15"/>
  <c r="E349" i="15"/>
  <c r="E346" i="15"/>
  <c r="F447" i="15"/>
  <c r="F446" i="15"/>
  <c r="C447" i="15"/>
  <c r="C446" i="15"/>
  <c r="F443" i="15"/>
  <c r="F442" i="15"/>
  <c r="F441" i="15"/>
  <c r="F440" i="15"/>
  <c r="F439" i="15"/>
  <c r="F438" i="15"/>
  <c r="F437" i="15"/>
  <c r="F436" i="15"/>
  <c r="F435" i="15"/>
  <c r="F434" i="15"/>
  <c r="F433" i="15"/>
  <c r="F432" i="15"/>
  <c r="F431" i="15"/>
  <c r="F428" i="15"/>
  <c r="E442" i="15"/>
  <c r="E441" i="15"/>
  <c r="E440" i="15"/>
  <c r="E439" i="15"/>
  <c r="E438" i="15"/>
  <c r="E437" i="15"/>
  <c r="E436" i="15"/>
  <c r="E435" i="15"/>
  <c r="E434" i="15"/>
  <c r="E433" i="15"/>
  <c r="E432" i="15"/>
  <c r="E428"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F427" i="15"/>
  <c r="F426" i="15"/>
  <c r="F425" i="15"/>
  <c r="F424" i="15"/>
  <c r="F423" i="15"/>
  <c r="F422" i="15"/>
  <c r="F421" i="15"/>
  <c r="F420" i="15"/>
  <c r="F419" i="15"/>
  <c r="F418" i="15"/>
  <c r="F417" i="15"/>
  <c r="F416" i="15"/>
  <c r="F415" i="15"/>
  <c r="F414" i="15"/>
  <c r="F413" i="15"/>
  <c r="F412" i="15"/>
  <c r="F411" i="15"/>
  <c r="F409" i="15"/>
  <c r="F408" i="15"/>
  <c r="F407" i="15"/>
  <c r="F406" i="15"/>
  <c r="F405" i="15"/>
  <c r="F404" i="15"/>
  <c r="F403" i="15"/>
  <c r="F402" i="15"/>
  <c r="F401" i="15"/>
  <c r="F400" i="15"/>
  <c r="F399" i="15"/>
  <c r="F398" i="15"/>
  <c r="F397" i="15"/>
  <c r="E427" i="15"/>
  <c r="E426" i="15"/>
  <c r="E424" i="15"/>
  <c r="E423" i="15"/>
  <c r="E422" i="15"/>
  <c r="E421" i="15"/>
  <c r="E420" i="15"/>
  <c r="E418" i="15"/>
  <c r="E417" i="15"/>
  <c r="E416" i="15"/>
  <c r="E415" i="15"/>
  <c r="E414" i="15"/>
  <c r="E413" i="15"/>
  <c r="E412" i="15"/>
  <c r="E411" i="15"/>
  <c r="E409" i="15"/>
  <c r="E408" i="15"/>
  <c r="E407" i="15"/>
  <c r="E405" i="15"/>
  <c r="E403" i="15"/>
  <c r="E402" i="15"/>
  <c r="E401" i="15"/>
  <c r="E399" i="15"/>
  <c r="E398" i="15"/>
  <c r="C386" i="15"/>
  <c r="C385" i="15"/>
  <c r="C384" i="15"/>
  <c r="C383" i="15"/>
  <c r="C382" i="15"/>
  <c r="C381" i="15"/>
  <c r="C380" i="15"/>
  <c r="F386" i="15"/>
  <c r="F385" i="15"/>
  <c r="F384" i="15"/>
  <c r="F383" i="15"/>
  <c r="F382" i="15"/>
  <c r="F381" i="15"/>
  <c r="F380" i="15"/>
  <c r="E386" i="15"/>
  <c r="E385" i="15"/>
  <c r="E384" i="15"/>
  <c r="E383" i="15"/>
  <c r="E381" i="15"/>
  <c r="E380" i="15"/>
  <c r="E337" i="15"/>
  <c r="E329" i="15"/>
  <c r="E328" i="15"/>
  <c r="E327" i="15"/>
  <c r="F345" i="15"/>
  <c r="F344" i="15"/>
  <c r="F343" i="15"/>
  <c r="F340" i="15"/>
  <c r="F339" i="15"/>
  <c r="F338" i="15"/>
  <c r="F337" i="15"/>
  <c r="F335" i="15"/>
  <c r="F334" i="15"/>
  <c r="F333" i="15"/>
  <c r="F332" i="15"/>
  <c r="F331" i="15"/>
  <c r="F328" i="15"/>
  <c r="F326" i="15"/>
  <c r="F325" i="15"/>
  <c r="F322" i="15"/>
  <c r="F321" i="15"/>
  <c r="C345" i="15"/>
  <c r="C344" i="15"/>
  <c r="C343" i="15"/>
  <c r="C342" i="15"/>
  <c r="C340" i="15"/>
  <c r="C339" i="15"/>
  <c r="C338" i="15"/>
  <c r="C337" i="15"/>
  <c r="C336" i="15"/>
  <c r="C335" i="15"/>
  <c r="C334" i="15"/>
  <c r="C333" i="15"/>
  <c r="C332" i="15"/>
  <c r="C331" i="15"/>
  <c r="C330" i="15"/>
  <c r="C329" i="15"/>
  <c r="C328" i="15"/>
  <c r="C327" i="15"/>
  <c r="C326" i="15"/>
  <c r="C325" i="15"/>
  <c r="C322" i="15"/>
  <c r="C321" i="15"/>
  <c r="C320" i="15"/>
  <c r="C379" i="15"/>
  <c r="C378" i="15"/>
  <c r="C377" i="15"/>
  <c r="C376" i="15"/>
  <c r="C375" i="15"/>
  <c r="C374" i="15"/>
  <c r="C373" i="15"/>
  <c r="F378" i="15"/>
  <c r="F377" i="15"/>
  <c r="F376" i="15"/>
  <c r="F375" i="15"/>
  <c r="F374" i="15"/>
  <c r="E373" i="15"/>
  <c r="F396" i="15"/>
  <c r="F395" i="15"/>
  <c r="F394" i="15"/>
  <c r="F393" i="15"/>
  <c r="F392" i="15"/>
  <c r="F391" i="15"/>
  <c r="F390" i="15"/>
  <c r="F389" i="15"/>
  <c r="F387" i="15"/>
  <c r="E394" i="15"/>
  <c r="E392" i="15"/>
  <c r="E389" i="15"/>
  <c r="E388" i="15"/>
  <c r="E387" i="15"/>
  <c r="C396" i="15"/>
  <c r="C395" i="15"/>
  <c r="C394" i="15"/>
  <c r="C393" i="15"/>
  <c r="C392" i="15"/>
  <c r="C391" i="15"/>
  <c r="C390" i="15"/>
  <c r="C389" i="15"/>
  <c r="C388" i="15"/>
  <c r="C387" i="15"/>
  <c r="C445" i="15"/>
  <c r="C444" i="15"/>
  <c r="F445" i="15"/>
  <c r="F444" i="15"/>
  <c r="D320" i="15"/>
  <c r="D321" i="15"/>
  <c r="D322" i="15"/>
  <c r="D325" i="15"/>
  <c r="D326" i="15"/>
  <c r="D327" i="15"/>
  <c r="D328" i="15"/>
  <c r="H17" i="10"/>
  <c r="F20" i="14"/>
  <c r="C23" i="10"/>
  <c r="H4" i="1"/>
  <c r="H9" i="1"/>
  <c r="C24" i="10"/>
  <c r="C25" i="10"/>
  <c r="D332" i="15"/>
  <c r="D333" i="15"/>
  <c r="D334" i="15"/>
  <c r="D335" i="15"/>
  <c r="D337" i="15"/>
  <c r="D343" i="15"/>
  <c r="D344" i="15"/>
  <c r="D345" i="15"/>
  <c r="D346" i="15"/>
  <c r="D347" i="15"/>
  <c r="D348" i="15"/>
  <c r="D349" i="15"/>
  <c r="D350" i="15"/>
  <c r="D351" i="15"/>
  <c r="D352" i="15"/>
  <c r="D353" i="15"/>
  <c r="D354" i="15"/>
  <c r="D355" i="15"/>
  <c r="D357" i="15"/>
  <c r="D358" i="15"/>
  <c r="D359" i="15"/>
  <c r="D360" i="15"/>
  <c r="H48" i="1"/>
  <c r="D362" i="15"/>
  <c r="D363" i="15"/>
  <c r="D364" i="15"/>
  <c r="D365" i="15"/>
  <c r="D366" i="15"/>
  <c r="D367" i="15"/>
  <c r="D368" i="15"/>
  <c r="D370" i="15"/>
  <c r="D372" i="15"/>
  <c r="D377" i="15"/>
  <c r="D378" i="15"/>
  <c r="D379" i="15"/>
  <c r="D380" i="15"/>
  <c r="D381" i="15"/>
  <c r="D382" i="15"/>
  <c r="D383" i="15"/>
  <c r="D384" i="15"/>
  <c r="H24" i="11"/>
  <c r="D385" i="15"/>
  <c r="D386" i="15"/>
  <c r="D392" i="15"/>
  <c r="D393" i="15"/>
  <c r="D394" i="15"/>
  <c r="H10" i="3"/>
  <c r="D395" i="15"/>
  <c r="D396" i="15"/>
  <c r="D397" i="15"/>
  <c r="D398" i="15"/>
  <c r="D399" i="15"/>
  <c r="D400" i="15"/>
  <c r="D401" i="15"/>
  <c r="D402" i="15"/>
  <c r="D403" i="15"/>
  <c r="H26" i="3"/>
  <c r="D404" i="15"/>
  <c r="D405" i="15"/>
  <c r="H28" i="3"/>
  <c r="D406" i="15"/>
  <c r="D407" i="15"/>
  <c r="D408" i="15"/>
  <c r="D409" i="15"/>
  <c r="D410" i="15"/>
  <c r="D411" i="15"/>
  <c r="D412" i="15"/>
  <c r="D413" i="15"/>
  <c r="D414" i="15"/>
  <c r="H44" i="3"/>
  <c r="D415" i="15"/>
  <c r="H48" i="3"/>
  <c r="D417" i="15"/>
  <c r="H49" i="3"/>
  <c r="D418" i="15"/>
  <c r="H55" i="3"/>
  <c r="D422" i="15"/>
  <c r="D428" i="15"/>
  <c r="D429" i="15"/>
  <c r="D430" i="15"/>
  <c r="D431" i="15"/>
  <c r="D432" i="15"/>
  <c r="D433" i="15"/>
  <c r="D434" i="15"/>
  <c r="D435" i="15"/>
  <c r="D436" i="15"/>
  <c r="D437" i="15"/>
  <c r="D438" i="15"/>
  <c r="H77" i="3"/>
  <c r="D106" i="3"/>
  <c r="H80" i="3"/>
  <c r="D442" i="15"/>
  <c r="D446" i="15"/>
  <c r="F46" i="14"/>
  <c r="F45" i="14"/>
  <c r="F44" i="14"/>
  <c r="F43" i="14"/>
  <c r="F42" i="14"/>
  <c r="D339" i="15"/>
  <c r="F36" i="14"/>
  <c r="F30" i="14"/>
  <c r="F28" i="14"/>
  <c r="F27" i="14"/>
  <c r="F22" i="14"/>
  <c r="F21" i="14"/>
  <c r="C37" i="11"/>
  <c r="C36" i="11"/>
  <c r="C38" i="11"/>
  <c r="F52" i="14"/>
  <c r="H18" i="1"/>
  <c r="D340" i="15"/>
  <c r="H45" i="3"/>
  <c r="H56" i="3"/>
  <c r="D423" i="15"/>
  <c r="D105" i="3"/>
  <c r="H78" i="3"/>
  <c r="H79" i="3"/>
  <c r="D441" i="15"/>
  <c r="D439" i="15"/>
  <c r="D103" i="3"/>
  <c r="D104" i="3"/>
  <c r="D329" i="15"/>
  <c r="D361" i="15"/>
  <c r="D369" i="15"/>
  <c r="H50" i="3"/>
  <c r="D419" i="15"/>
  <c r="H57" i="3"/>
  <c r="D424" i="15"/>
  <c r="H30" i="11"/>
  <c r="D387" i="15"/>
  <c r="H59" i="3"/>
  <c r="F53" i="14"/>
  <c r="D440" i="15"/>
  <c r="D416" i="15"/>
  <c r="F51" i="14"/>
  <c r="D447" i="15"/>
  <c r="D443" i="15"/>
  <c r="H58" i="3"/>
  <c r="D425" i="15"/>
  <c r="D426" i="15"/>
  <c r="F49" i="14"/>
  <c r="H60" i="3"/>
  <c r="D420" i="15"/>
  <c r="F47" i="14"/>
  <c r="F54" i="14"/>
  <c r="D421" i="15"/>
  <c r="F48" i="14"/>
  <c r="F50" i="14"/>
  <c r="D427" i="15"/>
  <c r="F16" i="14"/>
  <c r="H20" i="1"/>
  <c r="D342" i="15"/>
  <c r="D331" i="15"/>
  <c r="H73" i="1"/>
  <c r="F33" i="14"/>
  <c r="H72" i="1"/>
  <c r="F29" i="14"/>
  <c r="D330" i="15"/>
  <c r="D341" i="15"/>
  <c r="F23" i="14"/>
  <c r="D336" i="15"/>
  <c r="H74" i="1"/>
  <c r="F32" i="14"/>
  <c r="B221" i="15"/>
  <c r="B285" i="15"/>
  <c r="B107" i="15"/>
  <c r="B160" i="15"/>
  <c r="B85" i="15"/>
  <c r="B168" i="15"/>
  <c r="B128" i="15"/>
  <c r="B368" i="15"/>
  <c r="B413" i="15"/>
  <c r="B219" i="15"/>
  <c r="B361" i="15"/>
  <c r="B45" i="15"/>
  <c r="B14" i="15"/>
  <c r="B304" i="15"/>
  <c r="B441" i="15"/>
  <c r="B314" i="15"/>
  <c r="B69" i="15"/>
  <c r="B235" i="15"/>
  <c r="B356" i="15"/>
  <c r="B336" i="15"/>
  <c r="B21" i="15"/>
  <c r="B281" i="15"/>
  <c r="B131" i="15"/>
  <c r="B140" i="15"/>
  <c r="B109" i="15"/>
  <c r="B192" i="15"/>
  <c r="B372" i="15"/>
  <c r="B422" i="15"/>
  <c r="B380" i="15"/>
  <c r="B344" i="15"/>
  <c r="B162" i="15"/>
  <c r="B204" i="15"/>
  <c r="B56" i="15"/>
  <c r="B92" i="15"/>
  <c r="B117" i="15"/>
  <c r="B200" i="15"/>
  <c r="B374" i="15"/>
  <c r="B358" i="15"/>
  <c r="B445" i="15"/>
  <c r="B396" i="15"/>
  <c r="B444" i="15"/>
  <c r="B110" i="15"/>
  <c r="B321" i="15"/>
  <c r="B105" i="15"/>
  <c r="B388" i="15"/>
  <c r="B258" i="15"/>
  <c r="B324" i="15"/>
  <c r="B305" i="15"/>
  <c r="B161" i="15"/>
  <c r="B80" i="15"/>
  <c r="B224" i="15"/>
  <c r="B298" i="15"/>
  <c r="B370" i="15"/>
  <c r="B433" i="15"/>
  <c r="B382" i="15"/>
  <c r="B196" i="15"/>
  <c r="B318" i="15"/>
  <c r="B416" i="15"/>
  <c r="B30" i="15"/>
  <c r="B310" i="15"/>
  <c r="B337" i="15"/>
  <c r="B166" i="15"/>
  <c r="B417" i="15"/>
  <c r="B119" i="15"/>
  <c r="B280" i="15"/>
  <c r="B290" i="15"/>
  <c r="B31" i="15"/>
  <c r="B37" i="15"/>
  <c r="B296" i="15"/>
  <c r="B313" i="15"/>
  <c r="B381" i="15"/>
  <c r="B389" i="15"/>
  <c r="B47" i="15"/>
  <c r="B98" i="15"/>
  <c r="B206" i="15"/>
  <c r="B243" i="15"/>
  <c r="B76" i="15"/>
  <c r="B23" i="15"/>
  <c r="B146" i="15"/>
  <c r="B319" i="15"/>
  <c r="B33" i="15"/>
  <c r="B54" i="15"/>
  <c r="B334" i="15"/>
  <c r="B355" i="15"/>
  <c r="B86" i="15"/>
  <c r="B169" i="15"/>
  <c r="B180" i="15"/>
  <c r="B359" i="15"/>
  <c r="B99" i="15"/>
  <c r="B261" i="15"/>
  <c r="B263" i="15"/>
  <c r="B202" i="15"/>
  <c r="B154" i="15"/>
  <c r="B357" i="15"/>
  <c r="B205" i="15"/>
  <c r="B207" i="15"/>
  <c r="B352" i="15"/>
  <c r="B104" i="15"/>
  <c r="B341" i="15"/>
  <c r="B28" i="15"/>
  <c r="B124" i="15"/>
  <c r="B66" i="15"/>
  <c r="B232" i="15"/>
  <c r="B283" i="15"/>
  <c r="B443" i="15"/>
  <c r="B447" i="15"/>
  <c r="B292" i="15"/>
  <c r="B438" i="15"/>
  <c r="B393" i="15"/>
  <c r="B437" i="15"/>
  <c r="B126" i="15"/>
  <c r="B209" i="15"/>
  <c r="B284" i="15"/>
  <c r="B173" i="15"/>
  <c r="B407" i="15"/>
  <c r="B175" i="15"/>
  <c r="B25" i="15"/>
  <c r="B375" i="15"/>
  <c r="B95" i="15"/>
  <c r="B52" i="15"/>
  <c r="B65" i="15"/>
  <c r="B4" i="15"/>
  <c r="B256" i="15"/>
  <c r="B113" i="15"/>
  <c r="B88" i="15"/>
  <c r="B345" i="15"/>
  <c r="B363" i="15"/>
  <c r="B178" i="15"/>
  <c r="B9" i="15"/>
  <c r="B24" i="15"/>
  <c r="B73" i="15"/>
  <c r="B264" i="15"/>
  <c r="B70" i="15"/>
  <c r="B414" i="15"/>
  <c r="B186" i="15"/>
  <c r="B97" i="15"/>
  <c r="B197" i="15"/>
  <c r="B199" i="15"/>
  <c r="B424" i="15"/>
  <c r="B369" i="15"/>
  <c r="B434" i="15"/>
  <c r="B251" i="15"/>
  <c r="B62" i="15"/>
  <c r="B423" i="15"/>
  <c r="B306" i="15"/>
  <c r="B213" i="15"/>
  <c r="B22" i="15"/>
  <c r="B349" i="15"/>
  <c r="B120" i="15"/>
  <c r="B179" i="15"/>
  <c r="B394" i="15"/>
  <c r="B273" i="15"/>
  <c r="B237" i="15"/>
  <c r="B239" i="15"/>
  <c r="B387" i="15"/>
  <c r="B364" i="15"/>
  <c r="B428" i="15"/>
  <c r="B172" i="15"/>
  <c r="B18" i="15"/>
  <c r="B129" i="15"/>
  <c r="B15" i="15"/>
  <c r="B11" i="15"/>
  <c r="B401" i="15"/>
  <c r="B156" i="15"/>
  <c r="B40" i="15"/>
  <c r="B227" i="15"/>
  <c r="B174" i="15"/>
  <c r="B89" i="15"/>
  <c r="B257" i="15"/>
  <c r="B398" i="15"/>
  <c r="B331" i="15"/>
  <c r="B230" i="15"/>
  <c r="B409" i="15"/>
  <c r="B343" i="15"/>
  <c r="B390" i="15"/>
  <c r="B118" i="15"/>
  <c r="B201" i="15"/>
  <c r="B212" i="15"/>
  <c r="B203" i="15"/>
  <c r="B165" i="15"/>
  <c r="B406" i="15"/>
  <c r="B167" i="15"/>
  <c r="B61" i="15"/>
  <c r="B333" i="15"/>
  <c r="B87" i="15"/>
  <c r="B79" i="15"/>
  <c r="B301" i="15"/>
  <c r="B270" i="15"/>
  <c r="B303" i="15"/>
  <c r="B442" i="15"/>
  <c r="B242" i="15"/>
  <c r="B329" i="15"/>
  <c r="B152" i="15"/>
  <c r="B347" i="15"/>
  <c r="B350" i="15"/>
  <c r="B59" i="15"/>
  <c r="B225" i="15"/>
  <c r="B236" i="15"/>
  <c r="B267" i="15"/>
  <c r="B127" i="15"/>
  <c r="B408" i="15"/>
  <c r="B164" i="15"/>
  <c r="B77" i="15"/>
  <c r="B432" i="15"/>
  <c r="B392" i="15"/>
  <c r="B67" i="15"/>
  <c r="B233" i="15"/>
  <c r="B244" i="15"/>
  <c r="B291" i="15"/>
  <c r="B171" i="15"/>
  <c r="B246" i="15"/>
  <c r="B135" i="15"/>
  <c r="B149" i="15"/>
  <c r="B294" i="15"/>
  <c r="B155" i="15"/>
  <c r="B351" i="15"/>
  <c r="B282" i="15"/>
  <c r="B420" i="15"/>
  <c r="B159" i="15"/>
  <c r="B182" i="15"/>
  <c r="B150" i="15"/>
  <c r="B269" i="15"/>
  <c r="B238" i="15"/>
  <c r="B271" i="15"/>
  <c r="B216" i="15"/>
  <c r="B42" i="15"/>
  <c r="B335" i="15"/>
  <c r="B383" i="15"/>
  <c r="B431" i="15"/>
  <c r="B435" i="15"/>
  <c r="B39" i="15"/>
  <c r="B265" i="15"/>
  <c r="B276" i="15"/>
  <c r="B26" i="15"/>
  <c r="B229" i="15"/>
  <c r="B198" i="15"/>
  <c r="B231" i="15"/>
  <c r="B211" i="15"/>
  <c r="B446" i="15"/>
  <c r="B68" i="15"/>
  <c r="B378" i="15"/>
  <c r="B123" i="15"/>
  <c r="B142" i="15"/>
  <c r="B101" i="15"/>
  <c r="B184" i="15"/>
  <c r="B427" i="15"/>
  <c r="B27" i="15"/>
  <c r="B275" i="15"/>
  <c r="B410" i="15"/>
  <c r="B439" i="15"/>
  <c r="B13" i="15"/>
  <c r="B289" i="15"/>
  <c r="B300" i="15"/>
  <c r="B426" i="15"/>
  <c r="B386" i="15"/>
  <c r="B288" i="15"/>
  <c r="B429" i="15"/>
  <c r="B145" i="15"/>
  <c r="B348" i="15"/>
  <c r="B436" i="15"/>
  <c r="B5" i="15"/>
  <c r="B297" i="15"/>
  <c r="B308" i="15"/>
  <c r="B395" i="15"/>
  <c r="B185" i="15"/>
  <c r="B338" i="15"/>
  <c r="B312" i="15"/>
  <c r="B64" i="15"/>
  <c r="B100" i="15"/>
  <c r="B125" i="15"/>
  <c r="B208" i="15"/>
  <c r="B400" i="15"/>
  <c r="B412" i="15"/>
  <c r="B397" i="15"/>
  <c r="B29" i="15"/>
  <c r="B405" i="15"/>
  <c r="B91" i="15"/>
  <c r="B302" i="15"/>
  <c r="B144" i="15"/>
  <c r="B102" i="15"/>
  <c r="B116" i="15"/>
  <c r="B402" i="15"/>
  <c r="B93" i="15"/>
  <c r="B311" i="15"/>
  <c r="B214" i="15"/>
  <c r="B259" i="15"/>
  <c r="B35" i="15"/>
  <c r="B365" i="15"/>
  <c r="B222" i="15"/>
  <c r="B299" i="15"/>
  <c r="B43" i="15"/>
  <c r="B399" i="15"/>
  <c r="B377" i="15"/>
  <c r="B367" i="15"/>
  <c r="B177" i="15"/>
  <c r="B58" i="15"/>
  <c r="B8" i="15"/>
  <c r="B46" i="15"/>
  <c r="B391" i="15"/>
  <c r="B287" i="15"/>
  <c r="B226" i="15"/>
  <c r="B376" i="15"/>
  <c r="B36" i="15"/>
  <c r="B240" i="15"/>
  <c r="B170" i="15"/>
  <c r="B194" i="15"/>
  <c r="B366" i="15"/>
  <c r="B309" i="15"/>
  <c r="B163" i="15"/>
  <c r="B322" i="15"/>
  <c r="B274" i="15"/>
  <c r="B151" i="15"/>
  <c r="B157" i="15"/>
  <c r="B266" i="15"/>
  <c r="B419" i="15"/>
  <c r="B75" i="15"/>
  <c r="B141" i="15"/>
  <c r="B249" i="15"/>
  <c r="B315" i="15"/>
  <c r="B10" i="15"/>
  <c r="B317" i="15"/>
  <c r="B112" i="15"/>
  <c r="B326" i="15"/>
  <c r="B139" i="15"/>
  <c r="B90" i="15"/>
  <c r="B220" i="15"/>
  <c r="B293" i="15"/>
  <c r="B262" i="15"/>
  <c r="B295" i="15"/>
  <c r="B50" i="15"/>
  <c r="B234" i="15"/>
  <c r="B323" i="15"/>
  <c r="B136" i="15"/>
  <c r="B44" i="15"/>
  <c r="B57" i="15"/>
  <c r="B82" i="15"/>
  <c r="B248" i="15"/>
  <c r="B143" i="15"/>
  <c r="B181" i="15"/>
  <c r="B320" i="15"/>
  <c r="B183" i="15"/>
  <c r="B49" i="15"/>
  <c r="B340" i="15"/>
  <c r="B103" i="15"/>
  <c r="B114" i="15"/>
  <c r="B188" i="15"/>
  <c r="B147" i="15"/>
  <c r="B218" i="15"/>
  <c r="B189" i="15"/>
  <c r="B316" i="15"/>
  <c r="B191" i="15"/>
  <c r="B19" i="15"/>
  <c r="B371" i="15"/>
  <c r="B111" i="15"/>
  <c r="B122" i="15"/>
  <c r="B252" i="15"/>
  <c r="B48" i="15"/>
  <c r="B279" i="15"/>
  <c r="B63" i="15"/>
  <c r="B16" i="15"/>
  <c r="B81" i="15"/>
  <c r="B38" i="15"/>
  <c r="B272" i="15"/>
  <c r="B34" i="15"/>
  <c r="B187" i="15"/>
  <c r="B260" i="15"/>
  <c r="B215" i="15"/>
  <c r="B138" i="15"/>
  <c r="B72" i="15"/>
  <c r="B108" i="15"/>
  <c r="B133" i="15"/>
  <c r="B83" i="15"/>
  <c r="B385" i="15"/>
  <c r="B268" i="15"/>
  <c r="B190" i="15"/>
  <c r="B223" i="15"/>
  <c r="B195" i="15"/>
  <c r="B415" i="15"/>
  <c r="B60" i="15"/>
  <c r="B71" i="15"/>
  <c r="B354" i="15"/>
  <c r="B115" i="15"/>
  <c r="B153" i="15"/>
  <c r="B176" i="15"/>
  <c r="B41" i="15"/>
  <c r="B418" i="15"/>
  <c r="B328" i="15"/>
  <c r="B425" i="15"/>
  <c r="B53" i="15"/>
  <c r="B6" i="15"/>
  <c r="B148" i="15"/>
  <c r="B245" i="15"/>
  <c r="B247" i="15"/>
  <c r="B332" i="15"/>
  <c r="B84" i="15"/>
  <c r="B51" i="15"/>
  <c r="B193" i="15"/>
  <c r="B253" i="15"/>
  <c r="B255" i="15"/>
  <c r="B411" i="15"/>
  <c r="B32" i="15"/>
  <c r="B130" i="15"/>
  <c r="B373" i="15"/>
  <c r="B325" i="15"/>
  <c r="B7" i="15"/>
  <c r="B94" i="15"/>
  <c r="B158" i="15"/>
  <c r="B17" i="15"/>
  <c r="B379" i="15"/>
  <c r="B3" i="15"/>
  <c r="B210" i="15"/>
  <c r="B137" i="15"/>
  <c r="B254" i="15"/>
  <c r="B78" i="15"/>
  <c r="B12" i="15"/>
  <c r="B404" i="15"/>
  <c r="B132" i="15"/>
  <c r="B74" i="15"/>
  <c r="B307" i="15"/>
  <c r="B228" i="15"/>
  <c r="B421" i="15"/>
  <c r="B134" i="15"/>
  <c r="B217" i="15"/>
  <c r="B278" i="15"/>
  <c r="B362" i="15"/>
  <c r="B250" i="15"/>
  <c r="B330" i="15"/>
  <c r="B277" i="15"/>
  <c r="B20" i="15"/>
  <c r="B286" i="15"/>
  <c r="B339" i="15"/>
  <c r="B353" i="15"/>
  <c r="B346" i="15"/>
  <c r="B55" i="15"/>
  <c r="B121" i="15"/>
  <c r="B106" i="15"/>
  <c r="B327" i="15"/>
  <c r="B342" i="15"/>
  <c r="B440" i="15"/>
  <c r="B241" i="15"/>
  <c r="B430" i="15"/>
  <c r="B384" i="15"/>
  <c r="B96" i="15"/>
  <c r="B403" i="15"/>
  <c r="B360" i="15"/>
  <c r="D371" i="15"/>
  <c r="D375" i="15"/>
  <c r="D374" i="15"/>
  <c r="H4" i="3"/>
  <c r="D391" i="15"/>
  <c r="D373" i="15"/>
  <c r="H4" i="11"/>
  <c r="H31" i="11"/>
  <c r="H33" i="11"/>
  <c r="D376" i="15"/>
  <c r="H32" i="11"/>
  <c r="F38" i="14"/>
  <c r="D389" i="15"/>
  <c r="F39" i="14"/>
  <c r="D390" i="15"/>
  <c r="D388" i="15"/>
  <c r="F3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tc={C1049E5B-15ED-4B5A-B4E2-FA6B304CFF6E}</author>
    <author>tc={650637AD-D1EF-4073-867F-D56FF29832BD}</author>
    <author>tc={A3900D3A-F9E7-4439-8D9D-8D4C5C236641}</author>
    <author>tc={D1DEDF8C-0743-494A-9A76-6F98201353D8}</author>
  </authors>
  <commentList>
    <comment ref="B102" authorId="0" shapeId="0" xr:uid="{C1049E5B-15ED-4B5A-B4E2-FA6B304CFF6E}">
      <text>
        <t>[Threaded comment]
Your version of Excel allows you to read this threaded comment; however, any edits to it will get removed if the file is opened in a newer version of Excel. Learn more: https://go.microsoft.com/fwlink/?linkid=870924
Comment:
    Predominant means the SHGC value used in the greatest amount of window area for each zone.</t>
      </text>
    </comment>
    <comment ref="B107" authorId="1" shapeId="0" xr:uid="{650637AD-D1EF-4073-867F-D56FF29832BD}">
      <text>
        <t>[Threaded comment]
Your version of Excel allows you to read this threaded comment; however, any edits to it will get removed if the file is opened in a newer version of Excel. Learn more: https://go.microsoft.com/fwlink/?linkid=870924
Comment:
    Predominant means the wall insulation R-value used in the greatest amount of above-grade wall area for each zone.</t>
      </text>
    </comment>
    <comment ref="B112" authorId="2" shapeId="0" xr:uid="{A3900D3A-F9E7-4439-8D9D-8D4C5C236641}">
      <text>
        <t>[Threaded comment]
Your version of Excel allows you to read this threaded comment; however, any edits to it will get removed if the file is opened in a newer version of Excel. Learn more: https://go.microsoft.com/fwlink/?linkid=870924
Comment:
    Predominant means the ceiling insulation R-value used in the greatest amount of ceiling area for each zone.</t>
      </text>
    </comment>
    <comment ref="B136" authorId="3" shapeId="0" xr:uid="{D1DEDF8C-0743-494A-9A76-6F98201353D8}">
      <text>
        <t>[Threaded comment]
Your version of Excel allows you to read this threaded comment; however, any edits to it will get removed if the file is opened in a newer version of Excel. Learn more: https://go.microsoft.com/fwlink/?linkid=870924
Comment:
    Examples of equipment types include AC, Boiler, Furnace, Heat Pump, or Other.</t>
      </text>
    </comment>
  </commentList>
</comments>
</file>

<file path=xl/sharedStrings.xml><?xml version="1.0" encoding="utf-8"?>
<sst xmlns="http://schemas.openxmlformats.org/spreadsheetml/2006/main" count="923" uniqueCount="496">
  <si>
    <t>Grade</t>
  </si>
  <si>
    <t>User Input</t>
  </si>
  <si>
    <t>User input is out of range specified by the standard</t>
  </si>
  <si>
    <t>Calculated value</t>
  </si>
  <si>
    <t>Yes</t>
  </si>
  <si>
    <t>I</t>
  </si>
  <si>
    <t>II</t>
  </si>
  <si>
    <t>III</t>
  </si>
  <si>
    <t>n/a</t>
  </si>
  <si>
    <t>Range</t>
  </si>
  <si>
    <t>Fault and Grade Calculations</t>
  </si>
  <si>
    <t>Formatting Legend</t>
  </si>
  <si>
    <t>Enter Rater Field Measurements</t>
  </si>
  <si>
    <t>If Available, Enter Contractor-Provided Commissioning Values</t>
  </si>
  <si>
    <t xml:space="preserve">Did contractor provide site-specific installation values? </t>
  </si>
  <si>
    <t>Calculations for All Metering Devices</t>
  </si>
  <si>
    <t>Return #1</t>
  </si>
  <si>
    <t>Return #2</t>
  </si>
  <si>
    <t>Return #3</t>
  </si>
  <si>
    <t>Return #4</t>
  </si>
  <si>
    <t>(# entries should correspond with # of returns for system under test)</t>
  </si>
  <si>
    <t>Tdifference Max</t>
  </si>
  <si>
    <t>Total Duct Leakage Grade Designation:</t>
  </si>
  <si>
    <t>Max Eff.</t>
  </si>
  <si>
    <t>Did testing occur at rough-in or final?</t>
  </si>
  <si>
    <t>Prerequisites</t>
  </si>
  <si>
    <t>Have prerequisites been met?</t>
  </si>
  <si>
    <t>CFM</t>
  </si>
  <si>
    <t xml:space="preserve">Sq. Ft. </t>
  </si>
  <si>
    <t>CFM25</t>
  </si>
  <si>
    <t>IWC</t>
  </si>
  <si>
    <t>Enter Qtest - the airflow through Fan Flowmeter</t>
  </si>
  <si>
    <t>Enter Qtest - the airflow through Flow Grid</t>
  </si>
  <si>
    <t>Enter Qtest - Airflow through Airflow Meter</t>
  </si>
  <si>
    <t>Pressure difference for OEM Static Pressure Table (Ptop)</t>
  </si>
  <si>
    <t>Enter observed fan-speed setting</t>
  </si>
  <si>
    <t>Information from HVAC Design Report</t>
  </si>
  <si>
    <t>Test Method Selection</t>
  </si>
  <si>
    <t>Enter Psop - pressure of the supply-side under normal operation</t>
  </si>
  <si>
    <t>Enter Ptest - pressure of the supply-side during test</t>
  </si>
  <si>
    <t>Enter Prop - pressure of the return-side under normal operation</t>
  </si>
  <si>
    <t>No</t>
  </si>
  <si>
    <t>If testing is required and pre-reqs met, select one airflow test method.</t>
  </si>
  <si>
    <r>
      <t xml:space="preserve">Complete </t>
    </r>
    <r>
      <rPr>
        <b/>
        <u/>
        <sz val="11"/>
        <color theme="1"/>
        <rFont val="Calibri"/>
        <family val="2"/>
        <scheme val="minor"/>
      </rPr>
      <t>One</t>
    </r>
    <r>
      <rPr>
        <b/>
        <sz val="11"/>
        <color theme="1"/>
        <rFont val="Calibri"/>
        <family val="2"/>
        <scheme val="minor"/>
      </rPr>
      <t xml:space="preserve"> of Four Test Methods, Per Selection Above</t>
    </r>
  </si>
  <si>
    <t>Enter the Conditioned Floor Area served by the system</t>
  </si>
  <si>
    <t>Enter the total duct leakage of the system</t>
  </si>
  <si>
    <t>Enter Kh factor on revenue meter</t>
  </si>
  <si>
    <t>Enter Nrev - number of revolutions during period</t>
  </si>
  <si>
    <t>Seconds</t>
  </si>
  <si>
    <t>Watts</t>
  </si>
  <si>
    <t>Revs.</t>
  </si>
  <si>
    <t>W / CFM</t>
  </si>
  <si>
    <t>BTU/hr</t>
  </si>
  <si>
    <t>F</t>
  </si>
  <si>
    <t>Enter Wfan, watt draw of blower fan</t>
  </si>
  <si>
    <t>Blower fan efficiency</t>
  </si>
  <si>
    <t>Enter maximum total heat gain</t>
  </si>
  <si>
    <t>Enter metering device</t>
  </si>
  <si>
    <t>If Yes, enter their return air dry bulb temperature</t>
  </si>
  <si>
    <t>If Yes, enter their suction line saturation temperature</t>
  </si>
  <si>
    <t>Qnorm - normalized airflow</t>
  </si>
  <si>
    <t>Min liquid line temp</t>
  </si>
  <si>
    <t>Max liquid line temp</t>
  </si>
  <si>
    <t>Liquid line within target?</t>
  </si>
  <si>
    <t>Target suction line temp</t>
  </si>
  <si>
    <t>Min suction line temp</t>
  </si>
  <si>
    <t>Max suction line temp</t>
  </si>
  <si>
    <t>Suction line within target?</t>
  </si>
  <si>
    <t>Target liquid line temp</t>
  </si>
  <si>
    <t>Enter measured return air dry-bulb temperature</t>
  </si>
  <si>
    <t>Enter measured return air wet-bulb temperature</t>
  </si>
  <si>
    <t>Enter measured outdoor air dry-bulb temperature</t>
  </si>
  <si>
    <t>Enter measured suction line temperature</t>
  </si>
  <si>
    <t>Enter measured liquid line temperature</t>
  </si>
  <si>
    <t>DTD - Design Temp Difference</t>
  </si>
  <si>
    <t>Difference DTD - delta btw target &amp; measured suction line temp</t>
  </si>
  <si>
    <t>CTOA - Condensing Temp Over Ambient</t>
  </si>
  <si>
    <t>DifferenceCTOA - delta btw target &amp; measured liquid line temp</t>
  </si>
  <si>
    <t>Their liquid line condensing temperature</t>
  </si>
  <si>
    <t>Their outdoor air dry bulb temperature</t>
  </si>
  <si>
    <t>Leakage Limit for This System</t>
  </si>
  <si>
    <t>What Grade designation did total duct leakage achieve (I or II)?</t>
  </si>
  <si>
    <t>Qdev Max</t>
  </si>
  <si>
    <t>&gt; -8 F</t>
  </si>
  <si>
    <t>&gt; -6 F</t>
  </si>
  <si>
    <t>≤ -8 F</t>
  </si>
  <si>
    <t>≤ -6 F</t>
  </si>
  <si>
    <t>6.5.2.4</t>
  </si>
  <si>
    <t>6.2.1</t>
  </si>
  <si>
    <t>6.2.2.1</t>
  </si>
  <si>
    <t>4.2.5.5.1</t>
  </si>
  <si>
    <t>6.5.2.7</t>
  </si>
  <si>
    <t>6.5.2.8</t>
  </si>
  <si>
    <t>Elevation Adjustment Factor (Padj)</t>
  </si>
  <si>
    <t>PSC</t>
  </si>
  <si>
    <t>Elevation above sea level</t>
  </si>
  <si>
    <t>Ft</t>
  </si>
  <si>
    <t>7.6.2.3</t>
  </si>
  <si>
    <t>7.6.2.4</t>
  </si>
  <si>
    <t>7.6.2.5</t>
  </si>
  <si>
    <t>7.7.2.3</t>
  </si>
  <si>
    <t>7.8.1</t>
  </si>
  <si>
    <t>7.8.2</t>
  </si>
  <si>
    <t>Digital Utility Revenue Meter</t>
  </si>
  <si>
    <t>8.2.1</t>
  </si>
  <si>
    <t>SEER</t>
  </si>
  <si>
    <t>Other</t>
  </si>
  <si>
    <t>8.4.3.3</t>
  </si>
  <si>
    <t>8.4.3.8.1</t>
  </si>
  <si>
    <t>If metering device is TXV/EEV, then enter Target Subcooling</t>
  </si>
  <si>
    <t>If Yes, and metering device is TXV/EEV, then enter the following:</t>
  </si>
  <si>
    <t>Calculations for Piston/Capillary Tube Metering Devices</t>
  </si>
  <si>
    <t>8.4.3.8.3</t>
  </si>
  <si>
    <t>8.4.3.8.4</t>
  </si>
  <si>
    <t>Calculations for TXV/EEV Metering Devices</t>
  </si>
  <si>
    <t>8.4.3.9.3</t>
  </si>
  <si>
    <t>8.4.3.9.4</t>
  </si>
  <si>
    <t>8.4.3.9.5</t>
  </si>
  <si>
    <t>8.4.3.9.6</t>
  </si>
  <si>
    <t>4.3.7</t>
  </si>
  <si>
    <t>4.3.3.5</t>
  </si>
  <si>
    <t>4.3.3.6</t>
  </si>
  <si>
    <t>4.3.8</t>
  </si>
  <si>
    <t>4.3.1.1</t>
  </si>
  <si>
    <t>4.3.1.2</t>
  </si>
  <si>
    <t>4.3.1.3</t>
  </si>
  <si>
    <t>4.3.1.5</t>
  </si>
  <si>
    <t>4.3.2.1</t>
  </si>
  <si>
    <t>4.3.2.2</t>
  </si>
  <si>
    <t>4.3.2.4</t>
  </si>
  <si>
    <t>4.3.2.5</t>
  </si>
  <si>
    <t>4.3.3.1</t>
  </si>
  <si>
    <t>4.3.3.2</t>
  </si>
  <si>
    <t>4.3.2.3</t>
  </si>
  <si>
    <t>4.3.3.3</t>
  </si>
  <si>
    <t>4.3.3.4</t>
  </si>
  <si>
    <t>4.3.9</t>
  </si>
  <si>
    <t>4.3.10</t>
  </si>
  <si>
    <t>ACH50</t>
  </si>
  <si>
    <t>4.3.11</t>
  </si>
  <si>
    <t>4.3.14</t>
  </si>
  <si>
    <t>Did total duct leakage achieve Grade I or II designation?</t>
  </si>
  <si>
    <t>8.5.3.1</t>
  </si>
  <si>
    <t>Ft.</t>
  </si>
  <si>
    <t>8.5.3.2</t>
  </si>
  <si>
    <t>In.</t>
  </si>
  <si>
    <t>Delta liquid line length</t>
  </si>
  <si>
    <t>8.5.3.3</t>
  </si>
  <si>
    <t>Oz.</t>
  </si>
  <si>
    <t>8.5.2.1.1</t>
  </si>
  <si>
    <t>8.5.2.1.5</t>
  </si>
  <si>
    <t>8.5.2.1.6</t>
  </si>
  <si>
    <t>8.5.2.1.7</t>
  </si>
  <si>
    <t xml:space="preserve">The length of liquid line accounted for in the factory-supplied </t>
  </si>
  <si>
    <t xml:space="preserve">The weight of the factory-supplied refrigerant </t>
  </si>
  <si>
    <t>The weight of refrigerant added for specific components (other than line length)</t>
  </si>
  <si>
    <t xml:space="preserve">Refrigerant added or removed? </t>
  </si>
  <si>
    <t xml:space="preserve">Was factory charge removed first? </t>
  </si>
  <si>
    <t>The total weight of refrigerant added to or removed from the system</t>
  </si>
  <si>
    <t>Contractor-Provided Commissioning Values</t>
  </si>
  <si>
    <t>Weight of the refrigerant required for the incremental liquid line length</t>
  </si>
  <si>
    <t>8.5.3.4</t>
  </si>
  <si>
    <t xml:space="preserve">Total anticipated refrigerant weight </t>
  </si>
  <si>
    <t>8.5.3.5</t>
  </si>
  <si>
    <t>8.5.3.6</t>
  </si>
  <si>
    <t>Total reported refrigerant weight</t>
  </si>
  <si>
    <t>8.5.3.7</t>
  </si>
  <si>
    <t xml:space="preserve">Deviation between the total anticipated and total reported refrigerant weight </t>
  </si>
  <si>
    <t>8.6.2.1.2</t>
  </si>
  <si>
    <t>match the location of the Forced-Air HVAC System under test?</t>
  </si>
  <si>
    <t>Grade Designation</t>
  </si>
  <si>
    <t>3/8"</t>
  </si>
  <si>
    <t>1/4"</t>
  </si>
  <si>
    <t>5/16"</t>
  </si>
  <si>
    <t>1/2"</t>
  </si>
  <si>
    <t>Diameter</t>
  </si>
  <si>
    <t>Coeff.</t>
  </si>
  <si>
    <t xml:space="preserve">Oz. </t>
  </si>
  <si>
    <t xml:space="preserve">Return air temperature measurements meet criteria? </t>
  </si>
  <si>
    <t>4.3.13</t>
  </si>
  <si>
    <t>Does the system have a total amount of supply ductwork or distribution building cavities that is &gt; 10 total linear feet?</t>
  </si>
  <si>
    <t>Is the system entirely in Conditioned Space Volume?</t>
  </si>
  <si>
    <t>Enter the number of returns in the system</t>
  </si>
  <si>
    <t>Section Reference</t>
  </si>
  <si>
    <t>All required design documentation collected, reviewed, and verified to be in accordance with Section 4.3, or an IVR obtained.</t>
  </si>
  <si>
    <t>Test Method</t>
  </si>
  <si>
    <t>If specified, mech. vent. system is operational &amp; matches specification?</t>
  </si>
  <si>
    <t>HVAC equipment is operational &amp; matches specification?</t>
  </si>
  <si>
    <t>6.2.2.2</t>
  </si>
  <si>
    <t>If specified, distribution system installed, including registers &amp; grilles?</t>
  </si>
  <si>
    <t>If specified, filter installed &amp; matches specified performance rating?</t>
  </si>
  <si>
    <t>6.2.2.3</t>
  </si>
  <si>
    <t>6.2.2.4</t>
  </si>
  <si>
    <t>6.3.1.1</t>
  </si>
  <si>
    <t>Is testing required?</t>
  </si>
  <si>
    <t>6.3.1.3</t>
  </si>
  <si>
    <t>Dwelling and Forced-Air HVAC System Set Up</t>
  </si>
  <si>
    <t>Dwelling and forced-air HVAC system set up per Section 6.4?</t>
  </si>
  <si>
    <t>Was there turbulence (fluctuations &gt;0.05 IWC) when measuring Psop?</t>
  </si>
  <si>
    <t>Enter Fan Flowmeter location (at blower compartment or at return grille)</t>
  </si>
  <si>
    <t>6.5.2.5</t>
  </si>
  <si>
    <t>Return Grille</t>
  </si>
  <si>
    <t>6.6.2.4</t>
  </si>
  <si>
    <t>6.6.2.6</t>
  </si>
  <si>
    <t>6.6.2.7</t>
  </si>
  <si>
    <t>6.6.2.8</t>
  </si>
  <si>
    <t>6.7.2.2</t>
  </si>
  <si>
    <t>6.7.2.1.2</t>
  </si>
  <si>
    <t>6.8.3.2</t>
  </si>
  <si>
    <t>6.8.3.7</t>
  </si>
  <si>
    <t>6.8.3.9</t>
  </si>
  <si>
    <t>6.8.3.10</t>
  </si>
  <si>
    <t>6.8.3.11</t>
  </si>
  <si>
    <t>6.8.3.12</t>
  </si>
  <si>
    <t>Pressure Matching Method - Rater Measurements &amp; Calculation</t>
  </si>
  <si>
    <t>Flow Grid - Rater Measurements &amp; Calculation</t>
  </si>
  <si>
    <t>Flow Hood - Rater Measurements &amp; Calculation</t>
  </si>
  <si>
    <t>OEM Static Pressure Table Method - Rater Measurements &amp; Calculation</t>
  </si>
  <si>
    <t>Was there turbulence (fluctuations &gt;0.05 IWC) when measuring Prop?</t>
  </si>
  <si>
    <t>6.8.3.1</t>
  </si>
  <si>
    <t>(Determine by looking up airflow on OEM Static Pressure Table using observed fan-speed setting (6.8.3.2) and Ptop (6.8.3.11), interpolating as necessary)</t>
  </si>
  <si>
    <r>
      <t>F</t>
    </r>
    <r>
      <rPr>
        <vertAlign val="subscript"/>
        <sz val="11"/>
        <color theme="1"/>
        <rFont val="Calibri"/>
        <family val="2"/>
        <scheme val="minor"/>
      </rPr>
      <t>AF</t>
    </r>
    <r>
      <rPr>
        <sz val="11"/>
        <color theme="1"/>
        <rFont val="Calibri"/>
        <family val="2"/>
        <scheme val="minor"/>
      </rPr>
      <t xml:space="preserve"> (i.e., Fault)</t>
    </r>
  </si>
  <si>
    <t>6.9.1</t>
  </si>
  <si>
    <t>6.9.2</t>
  </si>
  <si>
    <t>≤ 0 and &gt; -15%</t>
  </si>
  <si>
    <t>≤ -15% and &gt; -25%</t>
  </si>
  <si>
    <t>≤ -25%</t>
  </si>
  <si>
    <t>or</t>
  </si>
  <si>
    <t>≥ 0 and &lt; +15%</t>
  </si>
  <si>
    <t>≥ +15% and &lt; +25%</t>
  </si>
  <si>
    <t>≥ +25%</t>
  </si>
  <si>
    <t>Did blower fan airflow achieve Grade I or II designation?</t>
  </si>
  <si>
    <t>Dwelling and forced-air HVAC system set up per Section 7.3?</t>
  </si>
  <si>
    <t>Utility Revenue Meter</t>
  </si>
  <si>
    <t>Enter Trev - duration of period (must be ≥ 90 seconds)</t>
  </si>
  <si>
    <t>Enter mode that forced-air HVAC system was tested in</t>
  </si>
  <si>
    <t>Cooling</t>
  </si>
  <si>
    <t>6.4.5</t>
  </si>
  <si>
    <t>7.3.2</t>
  </si>
  <si>
    <t>Portable Plug-In Watt Meter</t>
  </si>
  <si>
    <t>Clamp-On Watt Meter</t>
  </si>
  <si>
    <t>7.4.2.3</t>
  </si>
  <si>
    <t>7.5.2.4.1.3 or 7.5.2.4.2.3</t>
  </si>
  <si>
    <t>Non-Invasive Method</t>
  </si>
  <si>
    <t>8.3.2.1.1</t>
  </si>
  <si>
    <t>8.3.2.1.2</t>
  </si>
  <si>
    <t>8.3.2.1.3</t>
  </si>
  <si>
    <t>Have prerequisites been met to use Non-Invasive Method?</t>
  </si>
  <si>
    <t>Select test method</t>
  </si>
  <si>
    <t>8.3.2.1.4</t>
  </si>
  <si>
    <t>Dwelling and forced-air HVAC system set up per Section 8.4.1?</t>
  </si>
  <si>
    <t>8.4.1</t>
  </si>
  <si>
    <t>8.4.3.5</t>
  </si>
  <si>
    <t>8.4.3.6.1</t>
  </si>
  <si>
    <t>8.4.3.6.2</t>
  </si>
  <si>
    <t>8.4.3.6.3</t>
  </si>
  <si>
    <t xml:space="preserve">Outdoor air temperature measurement meets criteria? </t>
  </si>
  <si>
    <t>Enter design cooling blower fan volumetric airflow</t>
  </si>
  <si>
    <t>Blower fan airflow at operating conditions (Qop)</t>
  </si>
  <si>
    <t>Blower fan motor type. 
Note: ECM/Other fan types can only be used at elevations &gt;2,500 Ft if OEM provides instructions to account for elevation.</t>
  </si>
  <si>
    <t>Enter blower fan airflow at operating conditions (Qop)</t>
  </si>
  <si>
    <t>Blower fan volumetric airflow grade</t>
  </si>
  <si>
    <t>Enter design-specified blower fan airflow (Qdesign)</t>
  </si>
  <si>
    <t>Select one test method for measuring blower fan watt draw</t>
  </si>
  <si>
    <t>Blower fan watt draw at operating conditions (Wfan)</t>
  </si>
  <si>
    <t>Blower fan watt draw grade</t>
  </si>
  <si>
    <t>8.4.3.9</t>
  </si>
  <si>
    <t>8.4.3.9.1</t>
  </si>
  <si>
    <t>8.4.3.9.2</t>
  </si>
  <si>
    <t>8.4.3.10.1</t>
  </si>
  <si>
    <t>If metering device is Piston/Capillary Tube, then enter Target Superheat using OEM superheat chart or Std 310 Appendix B, for the given return air wet-bulb temp and outdoor air dry-bulb temp</t>
  </si>
  <si>
    <t>For Non-Invasive Method, enter measured outdoor air dry-bulb temperature</t>
  </si>
  <si>
    <t>For Non-Invasive Method, enter forced-air HVAC system type</t>
  </si>
  <si>
    <t>For Non-Invasive Method, enter equipment rated SEER</t>
  </si>
  <si>
    <t>8.4.3.10.2.3</t>
  </si>
  <si>
    <t>8.4.3.10.3</t>
  </si>
  <si>
    <t>8.4.3.10.4</t>
  </si>
  <si>
    <t>8.4.3.10.5</t>
  </si>
  <si>
    <t>8.4.3.10.6</t>
  </si>
  <si>
    <t>8.4.3.10.7</t>
  </si>
  <si>
    <t>8.4.3.10.2.2</t>
  </si>
  <si>
    <t>Was time-stamped geotagged photo(s) collected, showing scale with 
amount of refrigerant added or removed?</t>
  </si>
  <si>
    <t>8.5.2.1.3</t>
  </si>
  <si>
    <t>8.5.2.1.2</t>
  </si>
  <si>
    <t>The outside diameter of the liquid line</t>
  </si>
  <si>
    <t>8.5.2.1.4</t>
  </si>
  <si>
    <t>The total length of the liquid line</t>
  </si>
  <si>
    <t>Enter the total length of the liquid line</t>
  </si>
  <si>
    <t>Enter the outside diameter of the liquid line</t>
  </si>
  <si>
    <t xml:space="preserve">Does the location of the geotagged photo provided in Section 8.5.2.1.2 </t>
  </si>
  <si>
    <t>Refrigerant Charge Grade for Non-Invasive Method: Piston/Capillary Tube</t>
  </si>
  <si>
    <t>Refrigerant Charge Grade for Non-Invasive Method: TXV/EEV</t>
  </si>
  <si>
    <t>Refrigerant Charge Grade for Weigh-In Method</t>
  </si>
  <si>
    <t>8.6.3</t>
  </si>
  <si>
    <t>Table C1 – Verification Weight (ounces)</t>
  </si>
  <si>
    <t>8.6.2.1</t>
  </si>
  <si>
    <t>8.6.2.2</t>
  </si>
  <si>
    <t>Blower fan airflow</t>
  </si>
  <si>
    <t>Enter filter pressure drop accounted for in OEM Static Pressure Table (Pfilter). Enter 0 if Table does not account for filter, or is unclear about presence of filter. Enter 0.1 IWC if Table accounts for filter, but pressure drop is not specified.</t>
  </si>
  <si>
    <t>Total duct leakage per 100 sq. ft. of CFA served by system</t>
  </si>
  <si>
    <t>CFM25/100 Sq. Ft.</t>
  </si>
  <si>
    <t>4.3.1.4</t>
  </si>
  <si>
    <t>HVAC Design</t>
  </si>
  <si>
    <t>Home Type:</t>
  </si>
  <si>
    <t>Predominant window SHGC in HVAC design</t>
  </si>
  <si>
    <t>Zone 1</t>
  </si>
  <si>
    <t>Zone 2</t>
  </si>
  <si>
    <t>Zone 3</t>
  </si>
  <si>
    <t>Predominant wall R-value in HVAC design</t>
  </si>
  <si>
    <t>Predominant ceiling R-value in HVAC design</t>
  </si>
  <si>
    <t>-</t>
  </si>
  <si>
    <r>
      <t xml:space="preserve">Using </t>
    </r>
    <r>
      <rPr>
        <b/>
        <u/>
        <sz val="11"/>
        <color theme="1"/>
        <rFont val="Calibri"/>
        <family val="2"/>
        <scheme val="minor"/>
      </rPr>
      <t>Quantitative</t>
    </r>
    <r>
      <rPr>
        <b/>
        <sz val="11"/>
        <color theme="1"/>
        <rFont val="Calibri"/>
        <family val="2"/>
        <scheme val="minor"/>
      </rPr>
      <t xml:space="preserve"> HVAC Design Value</t>
    </r>
  </si>
  <si>
    <r>
      <t xml:space="preserve">Using </t>
    </r>
    <r>
      <rPr>
        <b/>
        <u/>
        <sz val="11"/>
        <color theme="1"/>
        <rFont val="Calibri"/>
        <family val="2"/>
        <scheme val="minor"/>
      </rPr>
      <t>Qualitative</t>
    </r>
    <r>
      <rPr>
        <b/>
        <sz val="11"/>
        <color theme="1"/>
        <rFont val="Calibri"/>
        <family val="2"/>
        <scheme val="minor"/>
      </rPr>
      <t xml:space="preserve"> HVAC Design Value</t>
    </r>
  </si>
  <si>
    <t>Piston/Cap. Tube</t>
  </si>
  <si>
    <t>Tab</t>
  </si>
  <si>
    <t>Field</t>
  </si>
  <si>
    <t>Value</t>
  </si>
  <si>
    <t>Section Ref.</t>
  </si>
  <si>
    <t>Units</t>
  </si>
  <si>
    <t>Weigh-In Method</t>
  </si>
  <si>
    <t>Introduction</t>
  </si>
  <si>
    <t>Table of Contents</t>
  </si>
  <si>
    <t>Tab Name</t>
  </si>
  <si>
    <t>1. HVAC Design Review</t>
  </si>
  <si>
    <t>2. Total Duct Leakage</t>
  </si>
  <si>
    <t>3. Blower Fan Airflow</t>
  </si>
  <si>
    <t>4. Blower Fan Watt Draw</t>
  </si>
  <si>
    <t>5. Refrigerant Charge</t>
  </si>
  <si>
    <t>Tab Description</t>
  </si>
  <si>
    <t>Version History</t>
  </si>
  <si>
    <t>Version</t>
  </si>
  <si>
    <t xml:space="preserve">Current Version: </t>
  </si>
  <si>
    <t>Date</t>
  </si>
  <si>
    <t>Updates</t>
  </si>
  <si>
    <t>Original</t>
  </si>
  <si>
    <t xml:space="preserve">Table of all raw inputs and outputs of the spreadsheet. </t>
  </si>
  <si>
    <t>Data Export</t>
  </si>
  <si>
    <t>Number of occupants in Home:</t>
  </si>
  <si>
    <t>Project Summary</t>
  </si>
  <si>
    <t xml:space="preserve">Summary of project information and critical inputs and outputs for each Task. </t>
  </si>
  <si>
    <t>Field inputs and calculations for Task 2 Total Duct Leakage.</t>
  </si>
  <si>
    <t>Field inputs and calculations for Task 3 Blower Fan Airflow.</t>
  </si>
  <si>
    <t>Field inputs and calculations for Task 4 Blower Fan Watt Draw.</t>
  </si>
  <si>
    <t>Field inputs and calculations for Task 5. Refrigerant Charge.</t>
  </si>
  <si>
    <t xml:space="preserve">Rater Company Name: </t>
  </si>
  <si>
    <t xml:space="preserve">Rater Employee: </t>
  </si>
  <si>
    <t>Home Address:</t>
  </si>
  <si>
    <t>City:</t>
  </si>
  <si>
    <t>State:</t>
  </si>
  <si>
    <t>Permit Date:</t>
  </si>
  <si>
    <t>Inspection Date:</t>
  </si>
  <si>
    <t>Project Information</t>
  </si>
  <si>
    <t>Rater Information</t>
  </si>
  <si>
    <t>Number of returns in the system</t>
  </si>
  <si>
    <t>Total Duct Leakage Grade Designation</t>
  </si>
  <si>
    <t>Airflow test method</t>
  </si>
  <si>
    <t>Design-specified blower fan airflow (CFM)</t>
  </si>
  <si>
    <t>Blower fan airflow at operating conditions (CFM)</t>
  </si>
  <si>
    <t>Observed fan-speed setting</t>
  </si>
  <si>
    <t>Pressure difference for OEM Static Pressure Table (IWC)</t>
  </si>
  <si>
    <t>Airflow Fault (%)</t>
  </si>
  <si>
    <t>Test method for measuring blower fan watt draw</t>
  </si>
  <si>
    <t>Watt draw of blower fan (W)</t>
  </si>
  <si>
    <t>Blower fan efficiency (W/CFM)</t>
  </si>
  <si>
    <t>Test method for assessing refrigerant charge</t>
  </si>
  <si>
    <t>Metering device type</t>
  </si>
  <si>
    <t>Measured outdoor air dry-bulb temperature (F)</t>
  </si>
  <si>
    <t>Measured suction line temperature (F)</t>
  </si>
  <si>
    <t>Measured liquid line temperature (F)</t>
  </si>
  <si>
    <t>Target suction line temp (F)</t>
  </si>
  <si>
    <t>Difference DTD (F)</t>
  </si>
  <si>
    <t>Target liquid line temp (F)</t>
  </si>
  <si>
    <t>DifferenceCTOA (F)</t>
  </si>
  <si>
    <t>Total anticipated refrigerant weight (oz)</t>
  </si>
  <si>
    <t>Total reported refrigerant weight (oz)</t>
  </si>
  <si>
    <t>Refrigerant charge grade designation</t>
  </si>
  <si>
    <t xml:space="preserve">Meets all tolerances? </t>
  </si>
  <si>
    <t>Testing at rough-in or final?</t>
  </si>
  <si>
    <t>Final Blower fan airflow at operating conditions (Qop)</t>
  </si>
  <si>
    <t>Final Blower fan watt draw at operating conditions (Wfan)</t>
  </si>
  <si>
    <t>Weigh-In</t>
  </si>
  <si>
    <t>Total duct leakage normalized by CFA served by system (CFM25/100 Sq. Ft.)</t>
  </si>
  <si>
    <t>Deviation btw total anticipated and 
total reported refrigerant weight (%)</t>
  </si>
  <si>
    <t>Evaluation of the Total Duct Leakage</t>
  </si>
  <si>
    <t xml:space="preserve">Evaluation of the Blower Fan Volumetric Airflow </t>
  </si>
  <si>
    <t>Evaluation of the Blower Fan Watt Draw</t>
  </si>
  <si>
    <t>Evaluation of the Refrigerant Charge</t>
  </si>
  <si>
    <t>Flow Hood</t>
  </si>
  <si>
    <t>Added</t>
  </si>
  <si>
    <t>Rough-in</t>
  </si>
  <si>
    <t>Added formatting for rating software inputs to Project Summary tab</t>
  </si>
  <si>
    <t>Likely ERI software input (Project Summary tab)</t>
  </si>
  <si>
    <t>Was total duct leakage test exemption taken?</t>
  </si>
  <si>
    <t>Was blower fan airflow test exemption taken?</t>
  </si>
  <si>
    <t>Plan Review</t>
  </si>
  <si>
    <t>Field Review</t>
  </si>
  <si>
    <t>4.3.1.6</t>
  </si>
  <si>
    <t>4.3.1.7</t>
  </si>
  <si>
    <t>4.3.2.6</t>
  </si>
  <si>
    <t>4.3.3.7</t>
  </si>
  <si>
    <t>4.3.5</t>
  </si>
  <si>
    <t>4.3.6</t>
  </si>
  <si>
    <t>4.3.12</t>
  </si>
  <si>
    <t>4.3.15</t>
  </si>
  <si>
    <t>Evaluation of the Design</t>
  </si>
  <si>
    <t>Standard 310 Data Tool:</t>
  </si>
  <si>
    <t>For plan review:</t>
  </si>
  <si>
    <t>For field review:</t>
  </si>
  <si>
    <t>Architectural Plan &amp; Options</t>
  </si>
  <si>
    <t>Conditioned Floor Area of Heating / Cooling Zones</t>
  </si>
  <si>
    <t>Home</t>
  </si>
  <si>
    <t>Home is between 300 sq. ft. smaller &amp; 100 sq. ft.  larger than HVAC design?</t>
  </si>
  <si>
    <t>Window Area of Heating / Cooling Zones</t>
  </si>
  <si>
    <t>Heating / Cooling Loads Methodology and Orientations</t>
  </si>
  <si>
    <t>In HVAC Design, is the max. minus min. total heat gain across orientations ≤ 6 kBtuh?</t>
  </si>
  <si>
    <t>Does front orientation of the Home match one of the orientations in the HVAC design?</t>
  </si>
  <si>
    <t>In HVAC Design, have heating and cooling loads have been calculated room-by-room?</t>
  </si>
  <si>
    <t>Does the name of the plan or address for the Home match the HVAC design?</t>
  </si>
  <si>
    <t>Does the unique identifier for the building that the Home is in match the HVAC design?</t>
  </si>
  <si>
    <t>Does the name of the plan for the Home match the HVAC design?</t>
  </si>
  <si>
    <t>Building ID, Architectural Plan, &amp; Options</t>
  </si>
  <si>
    <t>Does name of the plan for the Home either: a) match the HVAC design or b) is it included in the list of plans that the HVAC design can be used with AND the plan used in the HVAC design has the largest conditioned floor area among the plans listed?</t>
  </si>
  <si>
    <t>Do the options used in the Home match those in the HVAC design, 
or are they listed in the options the HVAC design can be used with?</t>
  </si>
  <si>
    <t>Do the options used in the Home either: a) match those in the HVAC design, or b) are they listed in the options the HVAC design can be used with AND the options used in the HVAC design have the largest conditioned floor area among the options listed?</t>
  </si>
  <si>
    <t>Home is less than or equal to HVAC design?</t>
  </si>
  <si>
    <t>Does the Home location (e.g., top, middle, bottom floor; corner or middle unit) match the HVAC design, or is the location of the HVAC Design a top floor and corner unit?</t>
  </si>
  <si>
    <t>Have orientation-specific total heat gains been documented for all eight orientations?</t>
  </si>
  <si>
    <t>Design Temperatures</t>
  </si>
  <si>
    <t>Are indoor design temps in HVAC design 70°F for heating season &amp; 75°F for cooling season?</t>
  </si>
  <si>
    <t>Are outdoor design temps in HVAC design within limits defined in Appendix A?</t>
  </si>
  <si>
    <t>Home is between 60 sq. ft. smaller &amp; 15 sq. ft. larger than HVAC design, 
or for zones with &gt; 500 sq. ft. of windows, between 12% smaller and 3% larger?</t>
  </si>
  <si>
    <t>Number of occupants used in HVAC design across all zones:</t>
  </si>
  <si>
    <t>Number of bedrooms in Home:</t>
  </si>
  <si>
    <t>Number of Occupants</t>
  </si>
  <si>
    <t>Window SHGC</t>
  </si>
  <si>
    <t>Predominant window SHGC in Home</t>
  </si>
  <si>
    <t>Number of occupants in Home within ±2 of occupants in HVAC Design?</t>
  </si>
  <si>
    <t>Home is within ±0.1 of HVAC design?</t>
  </si>
  <si>
    <t>Above-Grade Wall Nominal R-Value</t>
  </si>
  <si>
    <t>Predominant wall R-value in Home</t>
  </si>
  <si>
    <t>Home is within ±R-2 of HVAC design?</t>
  </si>
  <si>
    <t>Ceiling Nominal R-Value</t>
  </si>
  <si>
    <t>Predominant ceiling R-value in Home</t>
  </si>
  <si>
    <t>Home is within ±R-4 of HVAC design?</t>
  </si>
  <si>
    <t>Infiltration Rate</t>
  </si>
  <si>
    <t>Infiltration rate of Home</t>
  </si>
  <si>
    <t>Infiltration rate used in HVAC design</t>
  </si>
  <si>
    <t>Home is within ±2.0 of HVAC design?</t>
  </si>
  <si>
    <t>Home is within Table 1 tolerance for input used in HVAC design?</t>
  </si>
  <si>
    <t>Mechanical Ventilation System Design Airflow Rate</t>
  </si>
  <si>
    <t>HVAC design's time-averaged vent. rate, for each ventilation zone</t>
  </si>
  <si>
    <t xml:space="preserve">HVAC design's time-averaged vent. rate used in loads, for each heating / cooling zone </t>
  </si>
  <si>
    <t>Does each HVAC System in Home match the equipment type specified in the HVAC design?</t>
  </si>
  <si>
    <t>Design Airflows</t>
  </si>
  <si>
    <t>System 1</t>
  </si>
  <si>
    <t>System 2</t>
  </si>
  <si>
    <t>System 3</t>
  </si>
  <si>
    <t>In HVAC design, sum of design airflows across all rooms</t>
  </si>
  <si>
    <t>In HVAC design, design airflow of system in cooling mode (if applicable)</t>
  </si>
  <si>
    <t>In HVAC design, design airflow of system in heating mode (if applicable)</t>
  </si>
  <si>
    <t>Does the sum of design airflows across all rooms equal airflow of mode with higher airflow?</t>
  </si>
  <si>
    <t>Complete this section?</t>
  </si>
  <si>
    <t>2) The term "Home" is shorthand for the Dwelling, Townhouse, Dwelling Unit, or Sleeping Unit being rated. For the Plan Review section, this is represented by the architectural plan, spec sheets, and/or the energy model; for the Field Review section, this is represented by the actual constructed structure.</t>
  </si>
  <si>
    <t>Is the sum of the time-averaged design vent. rate across all vent. zones equal to the sum of the time-averaged design vent. rate used in the loads across all heated / cooled zones?</t>
  </si>
  <si>
    <t>1) This tab encompasses all required design review criteria, divided into a Plan Review section, which contains all of the criteria, and the Field Review section, which contains the subset that can only be fully verified in the field. Ultimately, the Home as constructed must meet the required criteria. However, completing the Plan Review section will ensure the project is on track and will fully satisfy the subset of criteria that can be fully verified prior to construction.</t>
  </si>
  <si>
    <t>3) Note that two sections must be completed - 1) the section applicable to the specific home type being rated and 2) the section applicable to all home types.</t>
  </si>
  <si>
    <t>HVAC System Equipment Types and Heating / Cooling Zones Served</t>
  </si>
  <si>
    <t>Does each HVAC system in the Home serve the zone(s) specified in the HVAC design?</t>
  </si>
  <si>
    <t>Compliance with Design Review Criteria</t>
  </si>
  <si>
    <t>Have all required design review criteria been verified for:</t>
  </si>
  <si>
    <r>
      <rPr>
        <u/>
        <sz val="11"/>
        <color theme="1"/>
        <rFont val="Calibri"/>
        <family val="2"/>
        <scheme val="minor"/>
      </rPr>
      <t>All</t>
    </r>
    <r>
      <rPr>
        <sz val="11"/>
        <color theme="1"/>
        <rFont val="Calibri"/>
        <family val="2"/>
        <scheme val="minor"/>
      </rPr>
      <t xml:space="preserve"> Dwellings, Townhouses, Dwelling Units, and Sleeping Units</t>
    </r>
  </si>
  <si>
    <t>Is design review complete?</t>
  </si>
  <si>
    <t>Home Location in Building &amp; Orientation of Heating / Cooling Loads</t>
  </si>
  <si>
    <t>A dwelling or townhouse or unit within (e.g., duplex)</t>
  </si>
  <si>
    <t>A unit in a multifamily building w/ heat gain ≤18 kBTUh &amp; heat loss ≤35 kBTUh</t>
  </si>
  <si>
    <t>For A Dwelling / Sleeping Unit in a Multifamily Building w/ Heat Gain ≤18 kBTUh &amp; Heat Loss ≤35 kBTUh</t>
  </si>
  <si>
    <t>For A Dwelling or Townhouse, or Dwelling / Sleeping Unit Within (e.g. Duplex)</t>
  </si>
  <si>
    <r>
      <t xml:space="preserve">For </t>
    </r>
    <r>
      <rPr>
        <b/>
        <u/>
        <sz val="11"/>
        <rFont val="Calibri"/>
        <family val="2"/>
        <scheme val="minor"/>
      </rPr>
      <t>All</t>
    </r>
    <r>
      <rPr>
        <b/>
        <sz val="11"/>
        <rFont val="Calibri"/>
        <family val="2"/>
        <scheme val="minor"/>
      </rPr>
      <t xml:space="preserve"> Dwellings, Townhouses, Dwelling Units, and Sleeping Units</t>
    </r>
  </si>
  <si>
    <t>For A Dwelling / Sleeping Unit in a Multifamily Building w/ Heat Gain &gt;18 kBTUh or Heat Loss &gt;35 kBTUh</t>
  </si>
  <si>
    <t>A unit in a multifamily building w/ heat gain &gt;18 kBTUh or heat loss &gt;35k BTUh</t>
  </si>
  <si>
    <t>Plan and field review inputs and calculations for Task 1 HVAC Design Review.</t>
  </si>
  <si>
    <t>Standard 310 Data Tool: About</t>
  </si>
  <si>
    <r>
      <t xml:space="preserve">This spreadsheet is intended to aid in data collection, and associated calculations, for tasks contained within ANSI/RESNET/ACCA Standard 310-2020 Standard for Grading the Installation of HVAC Systems. 
The standard is comprised of five tasks - a design review, a total duct leakage test, a Blower Fan volumetric airflow test, a Blower Fan watt draw test, and a non-invasive evaluation of refrigerant charge. The five tasks are designed to be completed in sequence. With the completion of each task, the results are evaluated for compliance with specified thresholds. For Task 1, these thresholds are design tolerances. For Tasks 2 through 5, the thresholds are installation quality grades. Furthermore, for Tasks 1 through 3, specified thresholds must be satisfied or the subsequent tasks cannot be completed. A visual representation of the workflow and the diagnostic test methods is shown in Figure 1.
</t>
    </r>
    <r>
      <rPr>
        <b/>
        <sz val="11"/>
        <color theme="1"/>
        <rFont val="Calibri"/>
        <family val="2"/>
        <scheme val="minor"/>
      </rPr>
      <t xml:space="preserve">                                                                    Figure 1 Illustration of Workflow and Diagnostic Test Methods
</t>
    </r>
  </si>
  <si>
    <t>Standard 310 Data Tool: Project Summary</t>
  </si>
  <si>
    <t>Standard 310 Data Tool: Data Export</t>
  </si>
  <si>
    <t>Updated '1. HVAC Design Review' tab to include both a Plan Review and Field Review section. Combined, these two sections encompass all requirements of the Std. 310 design review task. Prior versions only included the field review criteria. As a result, the name of the tool has been updated from the "Std 310 Field Data Tool" to the "Std 310 Data Tool".</t>
  </si>
  <si>
    <t>Design Documentation</t>
  </si>
  <si>
    <t xml:space="preserve">Has all required design documentation been collected, or an IVR obtained? </t>
  </si>
  <si>
    <t>N/A</t>
  </si>
  <si>
    <t>Incomplete required user input</t>
  </si>
  <si>
    <t xml:space="preserve">Required data inputs provided? </t>
  </si>
  <si>
    <t>Dwelling or townhouse or unit within</t>
  </si>
  <si>
    <t>1.2.1</t>
  </si>
  <si>
    <t>Fixed small bug on Blower Fan Airflow tab. Duct leakage grade results in cell H4 had been hard-coded and now properly reference the results from the prior tab.</t>
  </si>
  <si>
    <t>On '3. Blower Fan Airflow' tab, added ability for users to enter pressure measurements in either IWC or Pa.</t>
  </si>
  <si>
    <t>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</si>
</sst>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4" formatCode="_(&quot;$&quot;* #,##0.00_);_(&quot;$&quot;* \(#,##0.00\);_(&quot;$&quot;* &quot;-&quot;??_);_(@_)"/>
    <numFmt numFmtId="43" formatCode="_(* #,##0.00_);_(* \(#,##0.00\);_(* &quot;-&quot;??_);_(@_)"/>
    <numFmt numFmtId="164" formatCode="#,##0.0_);\(#,##0.0\)"/>
    <numFmt numFmtId="165" formatCode="0.0%"/>
    <numFmt numFmtId="166" formatCode="0.0"/>
    <numFmt numFmtId="167" formatCode="\≤\ #"/>
    <numFmt numFmtId="168" formatCode="\&gt;\ #"/>
    <numFmt numFmtId="169" formatCode="#,##0.0"/>
  </numFmts>
  <fonts count="18"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color rgb="FF0070C0"/>
      <name val="Calibri"/>
      <family val="2"/>
      <scheme val="minor"/>
    </font>
    <font>
      <sz val="11"/>
      <name val="Calibri"/>
      <family val="2"/>
      <scheme val="minor"/>
    </font>
    <font>
      <b/>
      <u/>
      <sz val="11"/>
      <color theme="1"/>
      <name val="Calibri"/>
      <family val="2"/>
      <scheme val="minor"/>
    </font>
    <font>
      <sz val="10"/>
      <name val="Arial"/>
      <family val="2"/>
    </font>
    <font>
      <sz val="11"/>
      <color rgb="FFFF0000"/>
      <name val="Calibri"/>
      <family val="2"/>
      <scheme val="minor"/>
    </font>
    <font>
      <vertAlign val="subscript"/>
      <sz val="11"/>
      <color theme="1"/>
      <name val="Calibri"/>
      <family val="2"/>
      <scheme val="minor"/>
    </font>
    <font>
      <b/>
      <sz val="11"/>
      <name val="Calibri"/>
      <family val="2"/>
      <scheme val="minor"/>
    </font>
    <font>
      <sz val="11"/>
      <color theme="8" tint="-0.249977111117893"/>
      <name val="Calibri"/>
      <family val="2"/>
      <scheme val="minor"/>
    </font>
    <font>
      <sz val="11"/>
      <color rgb="FF0033CC"/>
      <name val="Calibri"/>
      <family val="2"/>
      <scheme val="minor"/>
    </font>
    <font>
      <sz val="12"/>
      <color theme="1"/>
      <name val="Calibri"/>
      <family val="2"/>
      <scheme val="minor"/>
    </font>
    <font>
      <sz val="11"/>
      <color rgb="FF9C6500"/>
      <name val="Calibri"/>
      <family val="2"/>
      <scheme val="minor"/>
    </font>
    <font>
      <b/>
      <sz val="12"/>
      <name val="Calibri"/>
      <family val="2"/>
      <scheme val="minor"/>
    </font>
    <font>
      <b/>
      <u/>
      <sz val="11"/>
      <name val="Calibri"/>
      <family val="2"/>
      <scheme val="minor"/>
    </font>
    <font>
      <u/>
      <sz val="11"/>
      <color theme="1"/>
      <name val="Calibri"/>
      <family val="2"/>
      <scheme val="minor"/>
    </font>
  </fonts>
  <fills count="11">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EB9C"/>
      </patternFill>
    </fill>
    <fill>
      <patternFill patternType="solid">
        <fgColor theme="4" tint="0.39997558519241921"/>
        <bgColor theme="4"/>
      </patternFill>
    </fill>
    <fill>
      <patternFill patternType="solid">
        <fgColor theme="4" tint="0.39997558519241921"/>
        <bgColor indexed="64"/>
      </patternFill>
    </fill>
    <fill>
      <patternFill patternType="solid">
        <fgColor theme="6" tint="0.79998168889431442"/>
        <bgColor indexed="64"/>
      </patternFill>
    </fill>
    <fill>
      <patternFill patternType="lightUp">
        <fgColor theme="0"/>
        <bgColor theme="9" tint="0.59999389629810485"/>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7" fillId="0" borderId="0"/>
    <xf numFmtId="0" fontId="7" fillId="0" borderId="0"/>
    <xf numFmtId="0" fontId="13" fillId="0" borderId="0"/>
    <xf numFmtId="44" fontId="13" fillId="0" borderId="0" applyFont="0" applyFill="0" applyBorder="0" applyAlignment="0" applyProtection="0"/>
    <xf numFmtId="0" fontId="7" fillId="0" borderId="0"/>
    <xf numFmtId="9" fontId="13" fillId="0" borderId="0" applyFont="0" applyFill="0" applyBorder="0" applyAlignment="0" applyProtection="0"/>
    <xf numFmtId="0" fontId="1" fillId="0" borderId="0"/>
    <xf numFmtId="0" fontId="14" fillId="6" borderId="0" applyNumberFormat="0" applyBorder="0" applyAlignment="0" applyProtection="0"/>
    <xf numFmtId="0" fontId="1" fillId="0" borderId="0"/>
  </cellStyleXfs>
  <cellXfs count="430">
    <xf numFmtId="0" fontId="0" fillId="0" borderId="0" xfId="0"/>
    <xf numFmtId="0" fontId="3" fillId="0" borderId="0" xfId="0" applyFont="1"/>
    <xf numFmtId="0" fontId="4" fillId="3" borderId="1"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37" fontId="0" fillId="0" borderId="9" xfId="1" applyNumberFormat="1" applyFont="1" applyBorder="1" applyAlignment="1">
      <alignment horizontal="center"/>
    </xf>
    <xf numFmtId="164" fontId="0" fillId="0" borderId="7" xfId="1" applyNumberFormat="1" applyFont="1" applyBorder="1" applyAlignment="1">
      <alignment horizontal="center"/>
    </xf>
    <xf numFmtId="0" fontId="0" fillId="0" borderId="0" xfId="0" applyFont="1"/>
    <xf numFmtId="0" fontId="0" fillId="0" borderId="5" xfId="0" applyFont="1" applyBorder="1" applyAlignment="1">
      <alignment horizontal="center"/>
    </xf>
    <xf numFmtId="0" fontId="0" fillId="0" borderId="6" xfId="0" applyFont="1" applyBorder="1" applyAlignment="1">
      <alignment horizontal="center"/>
    </xf>
    <xf numFmtId="0" fontId="0" fillId="0" borderId="8"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0" xfId="0" applyFont="1" applyBorder="1"/>
    <xf numFmtId="3" fontId="0" fillId="0" borderId="0" xfId="0" applyNumberFormat="1" applyFont="1" applyBorder="1" applyAlignment="1">
      <alignment horizontal="center"/>
    </xf>
    <xf numFmtId="0" fontId="0" fillId="0" borderId="6" xfId="0" applyFont="1" applyBorder="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Border="1"/>
    <xf numFmtId="166" fontId="0" fillId="0" borderId="0" xfId="0" applyNumberFormat="1" applyFont="1" applyBorder="1" applyAlignment="1">
      <alignment horizontal="center"/>
    </xf>
    <xf numFmtId="3" fontId="4" fillId="3" borderId="1" xfId="0" applyNumberFormat="1"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vertical="top" wrapText="1"/>
    </xf>
    <xf numFmtId="2" fontId="0" fillId="0" borderId="7" xfId="1" applyNumberFormat="1" applyFont="1" applyBorder="1" applyAlignment="1">
      <alignment horizontal="center"/>
    </xf>
    <xf numFmtId="2" fontId="0" fillId="0" borderId="9" xfId="1" applyNumberFormat="1" applyFont="1" applyBorder="1" applyAlignment="1">
      <alignment horizontal="center"/>
    </xf>
    <xf numFmtId="0" fontId="0" fillId="0" borderId="0" xfId="0" applyFont="1" applyFill="1"/>
    <xf numFmtId="0" fontId="0" fillId="0" borderId="0" xfId="0" applyFont="1" applyFill="1" applyAlignment="1">
      <alignment horizontal="left" vertical="top"/>
    </xf>
    <xf numFmtId="0" fontId="0" fillId="0" borderId="0" xfId="0" applyFont="1" applyAlignment="1">
      <alignment vertical="top"/>
    </xf>
    <xf numFmtId="0" fontId="0" fillId="0" borderId="9" xfId="0" applyFont="1" applyBorder="1" applyAlignment="1">
      <alignment vertical="top" wrapText="1"/>
    </xf>
    <xf numFmtId="0" fontId="0" fillId="0" borderId="0" xfId="0" applyFont="1" applyBorder="1" applyAlignment="1">
      <alignment vertical="top" wrapText="1"/>
    </xf>
    <xf numFmtId="0" fontId="0" fillId="0" borderId="5" xfId="0" applyFont="1" applyBorder="1"/>
    <xf numFmtId="0" fontId="3" fillId="0" borderId="10" xfId="0" applyFont="1" applyBorder="1" applyAlignment="1">
      <alignment horizontal="center"/>
    </xf>
    <xf numFmtId="0" fontId="0" fillId="0" borderId="9" xfId="0" applyFont="1" applyBorder="1" applyAlignment="1">
      <alignment horizontal="center"/>
    </xf>
    <xf numFmtId="0" fontId="3" fillId="0" borderId="0" xfId="0" applyFont="1" applyFill="1"/>
    <xf numFmtId="2" fontId="4" fillId="3" borderId="1" xfId="2" applyNumberFormat="1" applyFont="1" applyFill="1" applyBorder="1" applyAlignment="1">
      <alignment horizontal="center"/>
    </xf>
    <xf numFmtId="0" fontId="0" fillId="0" borderId="0" xfId="0" applyFont="1" applyBorder="1" applyAlignment="1">
      <alignment vertical="top"/>
    </xf>
    <xf numFmtId="1" fontId="4" fillId="3" borderId="1" xfId="0" applyNumberFormat="1" applyFont="1" applyFill="1" applyBorder="1" applyAlignment="1">
      <alignment horizontal="center"/>
    </xf>
    <xf numFmtId="0" fontId="0" fillId="0" borderId="0" xfId="0" applyFont="1" applyFill="1" applyAlignment="1">
      <alignment vertical="top"/>
    </xf>
    <xf numFmtId="0" fontId="5" fillId="4" borderId="1" xfId="0" applyFont="1" applyFill="1" applyBorder="1" applyAlignment="1" applyProtection="1">
      <alignment horizontal="center"/>
      <protection locked="0"/>
    </xf>
    <xf numFmtId="3" fontId="0" fillId="4" borderId="1" xfId="0" applyNumberFormat="1" applyFont="1" applyFill="1" applyBorder="1" applyAlignment="1" applyProtection="1">
      <alignment horizontal="center"/>
      <protection locked="0"/>
    </xf>
    <xf numFmtId="4" fontId="0" fillId="4" borderId="1" xfId="0" applyNumberFormat="1" applyFont="1" applyFill="1" applyBorder="1" applyAlignment="1" applyProtection="1">
      <alignment horizontal="center"/>
      <protection locked="0"/>
    </xf>
    <xf numFmtId="0" fontId="8" fillId="0" borderId="0" xfId="0" applyFont="1"/>
    <xf numFmtId="0" fontId="0" fillId="0" borderId="0" xfId="0" applyFont="1" applyFill="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2" fontId="0" fillId="4" borderId="1" xfId="0" applyNumberFormat="1"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166" fontId="0" fillId="4" borderId="1" xfId="0" applyNumberFormat="1" applyFont="1" applyFill="1" applyBorder="1" applyAlignment="1" applyProtection="1">
      <alignment horizontal="center"/>
      <protection locked="0"/>
    </xf>
    <xf numFmtId="2" fontId="4" fillId="3" borderId="1" xfId="0" applyNumberFormat="1" applyFont="1" applyFill="1" applyBorder="1" applyAlignment="1">
      <alignment horizontal="center"/>
    </xf>
    <xf numFmtId="9" fontId="4" fillId="3" borderId="1" xfId="2" applyFont="1" applyFill="1" applyBorder="1" applyAlignment="1">
      <alignment horizontal="center"/>
    </xf>
    <xf numFmtId="0" fontId="0" fillId="0" borderId="0" xfId="0" applyFont="1" applyBorder="1" applyAlignment="1">
      <alignment horizontal="left" vertical="top" wrapText="1"/>
    </xf>
    <xf numFmtId="0" fontId="0" fillId="0" borderId="6" xfId="0" applyFont="1" applyBorder="1"/>
    <xf numFmtId="0" fontId="0"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wrapText="1"/>
    </xf>
    <xf numFmtId="0" fontId="3"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vertical="top" wrapText="1"/>
    </xf>
    <xf numFmtId="0" fontId="3" fillId="0" borderId="0" xfId="0" applyFont="1" applyAlignment="1">
      <alignment horizontal="center" wrapText="1"/>
    </xf>
    <xf numFmtId="0" fontId="3" fillId="0" borderId="0" xfId="0" applyFont="1" applyBorder="1" applyAlignment="1">
      <alignment horizontal="center"/>
    </xf>
    <xf numFmtId="0" fontId="0" fillId="0" borderId="0" xfId="0" applyFont="1" applyFill="1" applyAlignment="1">
      <alignment horizontal="center"/>
    </xf>
    <xf numFmtId="0" fontId="0" fillId="0" borderId="3" xfId="0" applyFont="1" applyBorder="1"/>
    <xf numFmtId="4" fontId="4" fillId="3" borderId="1" xfId="0" applyNumberFormat="1" applyFont="1" applyFill="1" applyBorder="1" applyAlignment="1">
      <alignment horizontal="center"/>
    </xf>
    <xf numFmtId="0" fontId="0" fillId="0" borderId="0" xfId="0" applyFont="1" applyFill="1" applyAlignment="1">
      <alignment horizontal="center" vertical="top"/>
    </xf>
    <xf numFmtId="0" fontId="0" fillId="0" borderId="0" xfId="0" applyFont="1" applyFill="1" applyBorder="1" applyAlignment="1">
      <alignment horizontal="center"/>
    </xf>
    <xf numFmtId="0" fontId="0" fillId="0" borderId="3" xfId="0" applyFont="1" applyBorder="1" applyAlignment="1">
      <alignment horizontal="center"/>
    </xf>
    <xf numFmtId="0" fontId="5" fillId="0" borderId="0" xfId="0" applyFont="1"/>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3" fontId="4" fillId="3" borderId="1" xfId="2" applyNumberFormat="1" applyFont="1" applyFill="1" applyBorder="1" applyAlignment="1">
      <alignment horizontal="center"/>
    </xf>
    <xf numFmtId="0" fontId="3" fillId="0" borderId="0" xfId="0" applyFont="1" applyBorder="1"/>
    <xf numFmtId="169" fontId="0" fillId="4" borderId="1" xfId="0" applyNumberFormat="1" applyFont="1" applyFill="1" applyBorder="1" applyAlignment="1" applyProtection="1">
      <alignment horizontal="center"/>
      <protection locked="0"/>
    </xf>
    <xf numFmtId="0" fontId="4" fillId="0" borderId="0" xfId="0" applyFont="1" applyFill="1" applyBorder="1" applyAlignment="1">
      <alignment horizontal="center"/>
    </xf>
    <xf numFmtId="0" fontId="0"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center" vertical="top" wrapText="1"/>
    </xf>
    <xf numFmtId="0" fontId="3" fillId="0" borderId="3" xfId="0" applyFont="1" applyBorder="1" applyAlignment="1">
      <alignment horizontal="center"/>
    </xf>
    <xf numFmtId="1" fontId="0" fillId="0" borderId="0" xfId="1" applyNumberFormat="1" applyFont="1" applyBorder="1" applyAlignment="1">
      <alignment horizontal="center"/>
    </xf>
    <xf numFmtId="0" fontId="0" fillId="0" borderId="0" xfId="0" applyFill="1"/>
    <xf numFmtId="0" fontId="12" fillId="0" borderId="0" xfId="0" applyFont="1" applyFill="1" applyBorder="1" applyAlignment="1" applyProtection="1">
      <alignment horizontal="center"/>
      <protection locked="0"/>
    </xf>
    <xf numFmtId="3" fontId="12" fillId="0" borderId="0" xfId="0" applyNumberFormat="1" applyFont="1" applyFill="1" applyBorder="1" applyAlignment="1" applyProtection="1">
      <alignment horizontal="center"/>
      <protection locked="0"/>
    </xf>
    <xf numFmtId="2" fontId="12" fillId="0" borderId="0" xfId="0" applyNumberFormat="1" applyFont="1" applyFill="1" applyBorder="1" applyAlignment="1" applyProtection="1">
      <alignment horizontal="center"/>
      <protection locked="0"/>
    </xf>
    <xf numFmtId="166" fontId="12" fillId="0" borderId="0" xfId="0" applyNumberFormat="1" applyFont="1" applyFill="1" applyBorder="1" applyAlignment="1" applyProtection="1">
      <alignment horizontal="center"/>
      <protection locked="0"/>
    </xf>
    <xf numFmtId="0" fontId="12" fillId="0" borderId="0" xfId="0" applyNumberFormat="1" applyFont="1" applyFill="1" applyBorder="1" applyAlignment="1" applyProtection="1">
      <alignment horizontal="center"/>
      <protection locked="0"/>
    </xf>
    <xf numFmtId="0" fontId="0" fillId="0" borderId="0" xfId="0" applyProtection="1"/>
    <xf numFmtId="0" fontId="0" fillId="0" borderId="0" xfId="0" applyAlignment="1" applyProtection="1">
      <alignment vertical="top" wrapText="1"/>
    </xf>
    <xf numFmtId="0" fontId="0" fillId="0" borderId="6" xfId="0" applyFill="1" applyBorder="1" applyProtection="1"/>
    <xf numFmtId="0" fontId="0" fillId="0" borderId="6" xfId="0" applyFont="1" applyFill="1" applyBorder="1" applyProtection="1"/>
    <xf numFmtId="0" fontId="0" fillId="0" borderId="6" xfId="0" applyBorder="1" applyAlignment="1" applyProtection="1">
      <alignment vertical="top" wrapText="1"/>
    </xf>
    <xf numFmtId="0" fontId="0" fillId="0" borderId="7" xfId="0" applyBorder="1" applyAlignment="1" applyProtection="1">
      <alignment vertical="top" wrapText="1"/>
    </xf>
    <xf numFmtId="0" fontId="0" fillId="0" borderId="0" xfId="0" applyFont="1" applyFill="1" applyBorder="1" applyProtection="1"/>
    <xf numFmtId="0" fontId="0" fillId="0" borderId="0" xfId="0" applyBorder="1" applyAlignment="1" applyProtection="1">
      <alignment vertical="top" wrapText="1"/>
    </xf>
    <xf numFmtId="0" fontId="0" fillId="0" borderId="9" xfId="0" applyBorder="1" applyAlignment="1" applyProtection="1">
      <alignment vertical="top" wrapText="1"/>
    </xf>
    <xf numFmtId="0" fontId="4" fillId="3" borderId="1" xfId="0" applyFont="1" applyFill="1" applyBorder="1" applyAlignment="1" applyProtection="1">
      <alignment horizontal="center"/>
    </xf>
    <xf numFmtId="0" fontId="0" fillId="0" borderId="11" xfId="0" applyFont="1" applyFill="1" applyBorder="1" applyProtection="1"/>
    <xf numFmtId="0" fontId="0" fillId="0" borderId="11" xfId="0" applyBorder="1" applyAlignment="1" applyProtection="1">
      <alignment vertical="top" wrapText="1"/>
    </xf>
    <xf numFmtId="0" fontId="0" fillId="0" borderId="12" xfId="0" applyBorder="1" applyAlignment="1" applyProtection="1">
      <alignment vertical="top" wrapText="1"/>
    </xf>
    <xf numFmtId="0" fontId="0" fillId="0" borderId="6" xfId="0" applyBorder="1" applyProtection="1"/>
    <xf numFmtId="0" fontId="0" fillId="0" borderId="17" xfId="0" applyBorder="1" applyProtection="1"/>
    <xf numFmtId="0" fontId="0" fillId="0" borderId="19" xfId="0" applyBorder="1" applyProtection="1"/>
    <xf numFmtId="0" fontId="0" fillId="0" borderId="17" xfId="0" applyBorder="1" applyAlignment="1" applyProtection="1">
      <alignment vertical="top"/>
    </xf>
    <xf numFmtId="0" fontId="0" fillId="0" borderId="18" xfId="0" applyBorder="1" applyProtection="1"/>
    <xf numFmtId="0" fontId="0" fillId="0" borderId="18" xfId="0" applyBorder="1" applyAlignment="1" applyProtection="1">
      <alignment vertical="top" wrapText="1"/>
    </xf>
    <xf numFmtId="0" fontId="0" fillId="0" borderId="0" xfId="0" applyBorder="1" applyProtection="1"/>
    <xf numFmtId="0" fontId="0" fillId="0" borderId="13" xfId="0" applyBorder="1" applyProtection="1"/>
    <xf numFmtId="0" fontId="0" fillId="0" borderId="20" xfId="0" applyBorder="1" applyProtection="1"/>
    <xf numFmtId="0" fontId="0" fillId="0" borderId="13" xfId="0" applyBorder="1" applyAlignment="1" applyProtection="1">
      <alignment vertical="top"/>
    </xf>
    <xf numFmtId="0" fontId="0" fillId="0" borderId="9" xfId="0" applyBorder="1" applyProtection="1"/>
    <xf numFmtId="0" fontId="0" fillId="0" borderId="21" xfId="0" applyBorder="1" applyProtection="1"/>
    <xf numFmtId="0" fontId="0" fillId="0" borderId="23" xfId="0" applyBorder="1" applyProtection="1"/>
    <xf numFmtId="0" fontId="0" fillId="0" borderId="21" xfId="0" applyBorder="1" applyAlignment="1" applyProtection="1">
      <alignment vertical="top"/>
    </xf>
    <xf numFmtId="0" fontId="0" fillId="0" borderId="22" xfId="0" applyBorder="1" applyProtection="1"/>
    <xf numFmtId="0" fontId="0" fillId="0" borderId="11" xfId="0" applyBorder="1" applyProtection="1"/>
    <xf numFmtId="0" fontId="0" fillId="0" borderId="12" xfId="0" applyBorder="1" applyProtection="1"/>
    <xf numFmtId="0" fontId="3" fillId="5" borderId="14" xfId="0" applyFont="1" applyFill="1" applyBorder="1" applyProtection="1"/>
    <xf numFmtId="0" fontId="0" fillId="5" borderId="16" xfId="0" applyFill="1" applyBorder="1" applyProtection="1"/>
    <xf numFmtId="0" fontId="3" fillId="5" borderId="14" xfId="0" applyFont="1" applyFill="1" applyBorder="1" applyAlignment="1" applyProtection="1">
      <alignment horizontal="center"/>
    </xf>
    <xf numFmtId="0" fontId="3" fillId="5" borderId="15" xfId="0" applyFont="1" applyFill="1" applyBorder="1" applyAlignment="1" applyProtection="1">
      <alignment horizontal="center"/>
    </xf>
    <xf numFmtId="0" fontId="3" fillId="5" borderId="15" xfId="0" applyFont="1" applyFill="1" applyBorder="1" applyAlignment="1" applyProtection="1">
      <alignment horizontal="left"/>
    </xf>
    <xf numFmtId="0" fontId="0" fillId="5" borderId="15" xfId="0" applyFill="1" applyBorder="1" applyProtection="1"/>
    <xf numFmtId="14" fontId="0" fillId="0" borderId="18" xfId="0" applyNumberFormat="1" applyBorder="1" applyAlignment="1" applyProtection="1">
      <alignment horizontal="center"/>
    </xf>
    <xf numFmtId="0" fontId="0" fillId="0" borderId="18" xfId="0" applyBorder="1" applyAlignment="1" applyProtection="1">
      <alignment horizontal="left"/>
    </xf>
    <xf numFmtId="0" fontId="3" fillId="0" borderId="0" xfId="0" applyFont="1" applyFill="1" applyBorder="1" applyAlignment="1" applyProtection="1">
      <alignment horizontal="left" vertical="center"/>
    </xf>
    <xf numFmtId="0" fontId="10" fillId="0" borderId="0" xfId="0" applyFont="1" applyFill="1" applyBorder="1" applyAlignment="1" applyProtection="1">
      <alignment horizontal="center"/>
    </xf>
    <xf numFmtId="0" fontId="12" fillId="0" borderId="0" xfId="0" applyFont="1" applyFill="1" applyBorder="1" applyAlignment="1" applyProtection="1">
      <alignment horizontal="center"/>
    </xf>
    <xf numFmtId="3" fontId="12" fillId="0" borderId="0" xfId="0" applyNumberFormat="1" applyFont="1" applyFill="1" applyBorder="1" applyAlignment="1" applyProtection="1">
      <alignment horizontal="center"/>
    </xf>
    <xf numFmtId="0" fontId="12" fillId="0" borderId="0" xfId="0" applyFont="1" applyFill="1" applyProtection="1"/>
    <xf numFmtId="4" fontId="12" fillId="0" borderId="0" xfId="0" applyNumberFormat="1" applyFont="1" applyFill="1" applyBorder="1" applyAlignment="1" applyProtection="1">
      <alignment horizontal="center"/>
    </xf>
    <xf numFmtId="2" fontId="12" fillId="0" borderId="0" xfId="0" applyNumberFormat="1" applyFont="1" applyFill="1" applyBorder="1" applyAlignment="1" applyProtection="1">
      <alignment horizontal="center"/>
    </xf>
    <xf numFmtId="165" fontId="12" fillId="0" borderId="0" xfId="2" applyNumberFormat="1" applyFont="1" applyFill="1" applyBorder="1" applyAlignment="1" applyProtection="1">
      <alignment horizontal="center"/>
    </xf>
    <xf numFmtId="3" fontId="12" fillId="0" borderId="0" xfId="2" applyNumberFormat="1" applyFont="1" applyFill="1" applyBorder="1" applyAlignment="1" applyProtection="1">
      <alignment horizontal="center"/>
    </xf>
    <xf numFmtId="2" fontId="12" fillId="0" borderId="0" xfId="2" applyNumberFormat="1" applyFont="1" applyFill="1" applyBorder="1" applyAlignment="1" applyProtection="1">
      <alignment horizontal="center"/>
    </xf>
    <xf numFmtId="1" fontId="12" fillId="0" borderId="0" xfId="0" applyNumberFormat="1" applyFont="1" applyFill="1" applyBorder="1" applyAlignment="1" applyProtection="1">
      <alignment horizontal="center"/>
    </xf>
    <xf numFmtId="9" fontId="12" fillId="0" borderId="0" xfId="2" applyFont="1" applyFill="1" applyBorder="1" applyAlignment="1" applyProtection="1">
      <alignment horizontal="center"/>
    </xf>
    <xf numFmtId="167" fontId="4" fillId="3" borderId="6" xfId="0" applyNumberFormat="1" applyFont="1" applyFill="1" applyBorder="1" applyAlignment="1" applyProtection="1">
      <alignment horizontal="center"/>
    </xf>
    <xf numFmtId="167" fontId="4" fillId="3" borderId="0" xfId="0" applyNumberFormat="1" applyFont="1" applyFill="1" applyBorder="1" applyAlignment="1" applyProtection="1">
      <alignment horizontal="center"/>
    </xf>
    <xf numFmtId="168" fontId="4" fillId="3" borderId="11" xfId="0" applyNumberFormat="1" applyFont="1" applyFill="1" applyBorder="1" applyAlignment="1" applyProtection="1">
      <alignment horizontal="center"/>
    </xf>
    <xf numFmtId="3" fontId="4" fillId="3" borderId="1" xfId="0" applyNumberFormat="1" applyFont="1" applyFill="1" applyBorder="1" applyAlignment="1" applyProtection="1">
      <alignment horizontal="center"/>
    </xf>
    <xf numFmtId="0" fontId="0" fillId="0" borderId="5" xfId="0" applyBorder="1" applyAlignment="1" applyProtection="1">
      <alignment vertical="top" wrapText="1"/>
    </xf>
    <xf numFmtId="0" fontId="0" fillId="0" borderId="8" xfId="0" applyBorder="1" applyAlignment="1" applyProtection="1">
      <alignment vertical="top" wrapText="1"/>
    </xf>
    <xf numFmtId="0" fontId="0" fillId="0" borderId="8" xfId="0" applyBorder="1" applyProtection="1"/>
    <xf numFmtId="0" fontId="0" fillId="0" borderId="10" xfId="0" applyBorder="1" applyProtection="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1" xfId="0" applyBorder="1" applyAlignment="1"/>
    <xf numFmtId="0" fontId="0" fillId="0" borderId="11" xfId="0" applyBorder="1" applyAlignment="1">
      <alignment horizontal="center" vertical="center"/>
    </xf>
    <xf numFmtId="0" fontId="0" fillId="0" borderId="6" xfId="0" applyBorder="1" applyAlignment="1"/>
    <xf numFmtId="0" fontId="0" fillId="0" borderId="6" xfId="0" applyBorder="1" applyAlignment="1">
      <alignment horizontal="center" vertical="center"/>
    </xf>
    <xf numFmtId="3" fontId="0" fillId="0" borderId="9" xfId="0" applyNumberFormat="1" applyBorder="1"/>
    <xf numFmtId="2" fontId="0" fillId="0" borderId="9" xfId="0" applyNumberFormat="1" applyBorder="1"/>
    <xf numFmtId="0" fontId="0" fillId="5" borderId="24" xfId="0" applyFill="1" applyBorder="1"/>
    <xf numFmtId="1" fontId="0" fillId="0" borderId="17" xfId="0" applyNumberFormat="1" applyBorder="1" applyAlignment="1" applyProtection="1">
      <alignment horizontal="center"/>
    </xf>
    <xf numFmtId="0" fontId="0" fillId="4" borderId="24" xfId="0" applyFont="1" applyFill="1" applyBorder="1" applyAlignment="1" applyProtection="1">
      <alignment horizontal="center"/>
    </xf>
    <xf numFmtId="0" fontId="2" fillId="2" borderId="24" xfId="3" applyFont="1" applyBorder="1" applyAlignment="1" applyProtection="1">
      <alignment horizontal="center"/>
    </xf>
    <xf numFmtId="0" fontId="4" fillId="3" borderId="24" xfId="0" applyFont="1" applyFill="1" applyBorder="1" applyAlignment="1" applyProtection="1">
      <alignment horizontal="center"/>
    </xf>
    <xf numFmtId="0" fontId="0" fillId="4" borderId="24" xfId="0" applyFont="1" applyFill="1" applyBorder="1" applyAlignment="1">
      <alignment horizontal="center"/>
    </xf>
    <xf numFmtId="0" fontId="2" fillId="2" borderId="24" xfId="3" applyFont="1" applyBorder="1" applyAlignment="1">
      <alignment horizontal="center"/>
    </xf>
    <xf numFmtId="0" fontId="4" fillId="3" borderId="24" xfId="0" applyFont="1" applyFill="1" applyBorder="1" applyAlignment="1">
      <alignment horizontal="center"/>
    </xf>
    <xf numFmtId="0" fontId="0" fillId="5" borderId="17" xfId="0" applyFont="1" applyFill="1" applyBorder="1"/>
    <xf numFmtId="0" fontId="3" fillId="5" borderId="18" xfId="0" applyFont="1" applyFill="1" applyBorder="1"/>
    <xf numFmtId="0" fontId="0" fillId="5" borderId="19" xfId="0" applyFont="1" applyFill="1" applyBorder="1"/>
    <xf numFmtId="0" fontId="0" fillId="5" borderId="13" xfId="0" applyFont="1" applyFill="1" applyBorder="1"/>
    <xf numFmtId="0" fontId="0" fillId="5" borderId="20" xfId="0" applyFont="1" applyFill="1" applyBorder="1"/>
    <xf numFmtId="0" fontId="0" fillId="5" borderId="21" xfId="0" applyFont="1" applyFill="1" applyBorder="1"/>
    <xf numFmtId="0" fontId="0" fillId="5" borderId="22" xfId="0" applyFont="1" applyFill="1" applyBorder="1"/>
    <xf numFmtId="0" fontId="0" fillId="5" borderId="23" xfId="0" applyFont="1" applyFill="1" applyBorder="1"/>
    <xf numFmtId="165" fontId="4" fillId="3" borderId="1" xfId="2" applyNumberFormat="1" applyFont="1" applyFill="1" applyBorder="1" applyAlignment="1">
      <alignment horizontal="center" vertical="center"/>
    </xf>
    <xf numFmtId="0" fontId="0" fillId="0" borderId="0" xfId="0" applyFill="1" applyProtection="1"/>
    <xf numFmtId="0" fontId="12" fillId="0" borderId="0" xfId="0" applyFont="1" applyFill="1" applyAlignment="1" applyProtection="1">
      <alignment horizontal="center"/>
    </xf>
    <xf numFmtId="0" fontId="0" fillId="0" borderId="0" xfId="0" applyFill="1" applyAlignment="1" applyProtection="1">
      <alignment horizontal="center"/>
    </xf>
    <xf numFmtId="0" fontId="10" fillId="0" borderId="0" xfId="0" applyFont="1" applyFill="1" applyProtection="1"/>
    <xf numFmtId="0" fontId="10" fillId="0" borderId="0" xfId="0" applyFont="1" applyFill="1" applyAlignment="1" applyProtection="1">
      <alignment horizontal="center"/>
    </xf>
    <xf numFmtId="3" fontId="0" fillId="0" borderId="0" xfId="0" applyNumberFormat="1" applyFill="1" applyProtection="1"/>
    <xf numFmtId="0" fontId="0" fillId="0" borderId="0" xfId="0" applyFill="1" applyAlignment="1" applyProtection="1">
      <alignment horizontal="left"/>
    </xf>
    <xf numFmtId="0" fontId="10" fillId="0" borderId="0" xfId="0" applyFont="1" applyFill="1" applyAlignment="1" applyProtection="1">
      <alignment horizontal="left"/>
    </xf>
    <xf numFmtId="0" fontId="12" fillId="0" borderId="0" xfId="0" applyFont="1" applyFill="1" applyBorder="1" applyAlignment="1" applyProtection="1">
      <alignment horizontal="left"/>
    </xf>
    <xf numFmtId="3" fontId="12" fillId="0" borderId="0" xfId="0" applyNumberFormat="1" applyFont="1" applyFill="1" applyBorder="1" applyAlignment="1" applyProtection="1">
      <alignment horizontal="left"/>
    </xf>
    <xf numFmtId="0" fontId="12" fillId="0" borderId="0" xfId="0" applyFont="1" applyFill="1" applyBorder="1" applyAlignment="1" applyProtection="1">
      <alignment horizontal="left"/>
      <protection locked="0"/>
    </xf>
    <xf numFmtId="3" fontId="12" fillId="0" borderId="0" xfId="0" applyNumberFormat="1" applyFont="1" applyFill="1" applyBorder="1" applyAlignment="1" applyProtection="1">
      <alignment horizontal="left"/>
      <protection locked="0"/>
    </xf>
    <xf numFmtId="2" fontId="12" fillId="0" borderId="0" xfId="0" applyNumberFormat="1" applyFont="1" applyFill="1" applyBorder="1" applyAlignment="1" applyProtection="1">
      <alignment horizontal="left"/>
      <protection locked="0"/>
    </xf>
    <xf numFmtId="166" fontId="12" fillId="0" borderId="0" xfId="0" applyNumberFormat="1" applyFont="1" applyFill="1" applyBorder="1" applyAlignment="1" applyProtection="1">
      <alignment horizontal="left"/>
      <protection locked="0"/>
    </xf>
    <xf numFmtId="4" fontId="12" fillId="0" borderId="0" xfId="0" applyNumberFormat="1" applyFont="1" applyFill="1" applyBorder="1" applyAlignment="1" applyProtection="1">
      <alignment horizontal="left"/>
    </xf>
    <xf numFmtId="2" fontId="12" fillId="0" borderId="0" xfId="0" applyNumberFormat="1" applyFont="1" applyFill="1" applyBorder="1" applyAlignment="1" applyProtection="1">
      <alignment horizontal="left"/>
    </xf>
    <xf numFmtId="165" fontId="12" fillId="0" borderId="0" xfId="2" applyNumberFormat="1" applyFont="1" applyFill="1" applyBorder="1" applyAlignment="1" applyProtection="1">
      <alignment horizontal="left"/>
    </xf>
    <xf numFmtId="0" fontId="12" fillId="0" borderId="0" xfId="0" applyNumberFormat="1" applyFont="1" applyFill="1" applyBorder="1" applyAlignment="1" applyProtection="1">
      <alignment horizontal="left"/>
      <protection locked="0"/>
    </xf>
    <xf numFmtId="0" fontId="12" fillId="0" borderId="0" xfId="0" quotePrefix="1" applyFont="1" applyFill="1" applyBorder="1" applyAlignment="1" applyProtection="1">
      <alignment horizontal="left"/>
      <protection locked="0"/>
    </xf>
    <xf numFmtId="3" fontId="12" fillId="0" borderId="0" xfId="2" applyNumberFormat="1" applyFont="1" applyFill="1" applyBorder="1" applyAlignment="1" applyProtection="1">
      <alignment horizontal="left"/>
    </xf>
    <xf numFmtId="2" fontId="12" fillId="0" borderId="0" xfId="2" applyNumberFormat="1" applyFont="1" applyFill="1" applyBorder="1" applyAlignment="1" applyProtection="1">
      <alignment horizontal="left"/>
    </xf>
    <xf numFmtId="1" fontId="12" fillId="0" borderId="0" xfId="0" applyNumberFormat="1" applyFont="1" applyFill="1" applyBorder="1" applyAlignment="1" applyProtection="1">
      <alignment horizontal="left"/>
    </xf>
    <xf numFmtId="9" fontId="12" fillId="0" borderId="0" xfId="2" applyFont="1" applyFill="1" applyBorder="1" applyAlignment="1" applyProtection="1">
      <alignment horizontal="left"/>
    </xf>
    <xf numFmtId="2" fontId="0" fillId="0" borderId="24" xfId="0" applyNumberFormat="1" applyBorder="1" applyAlignment="1" applyProtection="1">
      <alignment horizontal="center"/>
    </xf>
    <xf numFmtId="0" fontId="4" fillId="3" borderId="24" xfId="0" applyFont="1" applyFill="1" applyBorder="1" applyAlignment="1" applyProtection="1">
      <alignment horizontal="center" vertical="center"/>
    </xf>
    <xf numFmtId="2" fontId="4" fillId="3" borderId="24" xfId="0" applyNumberFormat="1" applyFont="1" applyFill="1" applyBorder="1" applyAlignment="1" applyProtection="1">
      <alignment horizontal="center" vertical="center"/>
    </xf>
    <xf numFmtId="166" fontId="4" fillId="3" borderId="24" xfId="0" applyNumberFormat="1" applyFont="1" applyFill="1" applyBorder="1" applyAlignment="1" applyProtection="1">
      <alignment horizontal="center" vertical="center"/>
    </xf>
    <xf numFmtId="9" fontId="4" fillId="3" borderId="24" xfId="2" applyFont="1" applyFill="1" applyBorder="1" applyAlignment="1" applyProtection="1">
      <alignment horizontal="center" vertical="center"/>
    </xf>
    <xf numFmtId="0" fontId="0" fillId="0" borderId="0" xfId="0" applyFont="1" applyBorder="1" applyAlignment="1">
      <alignment horizontal="left" vertical="top" wrapText="1"/>
    </xf>
    <xf numFmtId="0" fontId="0" fillId="0" borderId="13" xfId="0" applyBorder="1" applyAlignment="1" applyProtection="1">
      <alignment horizontal="center"/>
    </xf>
    <xf numFmtId="14"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21" xfId="0" applyBorder="1" applyAlignment="1" applyProtection="1">
      <alignment horizontal="center"/>
    </xf>
    <xf numFmtId="0" fontId="4" fillId="7" borderId="24" xfId="0" applyFont="1" applyFill="1" applyBorder="1" applyAlignment="1" applyProtection="1">
      <alignment horizontal="center" vertical="center"/>
    </xf>
    <xf numFmtId="1" fontId="4" fillId="7" borderId="24" xfId="0" applyNumberFormat="1" applyFont="1" applyFill="1" applyBorder="1" applyAlignment="1" applyProtection="1">
      <alignment horizontal="center" vertical="center"/>
    </xf>
    <xf numFmtId="9" fontId="4" fillId="7" borderId="24" xfId="2" applyFont="1" applyFill="1" applyBorder="1" applyAlignment="1" applyProtection="1">
      <alignment horizontal="center" vertical="center"/>
    </xf>
    <xf numFmtId="0" fontId="4" fillId="8" borderId="24" xfId="0" applyFont="1" applyFill="1" applyBorder="1" applyAlignment="1" applyProtection="1">
      <alignment horizontal="center"/>
    </xf>
    <xf numFmtId="0" fontId="3" fillId="0" borderId="0" xfId="0" applyFont="1" applyAlignment="1">
      <alignment horizontal="center" wrapText="1"/>
    </xf>
    <xf numFmtId="0" fontId="11" fillId="0" borderId="0" xfId="0" applyFont="1" applyAlignment="1">
      <alignment horizontal="left" vertical="top" wrapText="1"/>
    </xf>
    <xf numFmtId="0" fontId="0" fillId="0" borderId="20" xfId="0" applyFont="1" applyFill="1" applyBorder="1" applyAlignment="1">
      <alignment horizontal="center"/>
    </xf>
    <xf numFmtId="9" fontId="0" fillId="0" borderId="0" xfId="2" applyFont="1" applyBorder="1"/>
    <xf numFmtId="0" fontId="3" fillId="0" borderId="18" xfId="0" applyFont="1" applyBorder="1" applyAlignment="1">
      <alignment vertical="top" wrapText="1"/>
    </xf>
    <xf numFmtId="0" fontId="0" fillId="0" borderId="19" xfId="0" applyFont="1" applyFill="1" applyBorder="1" applyAlignment="1">
      <alignment horizontal="center"/>
    </xf>
    <xf numFmtId="0" fontId="3" fillId="0" borderId="0" xfId="0" applyFont="1" applyBorder="1" applyAlignment="1">
      <alignment vertical="top" wrapText="1"/>
    </xf>
    <xf numFmtId="0" fontId="0" fillId="0" borderId="0" xfId="0" applyFont="1" applyBorder="1" applyAlignment="1">
      <alignment vertical="center"/>
    </xf>
    <xf numFmtId="3" fontId="0" fillId="0" borderId="0" xfId="0" applyNumberFormat="1" applyBorder="1" applyAlignment="1">
      <alignment horizontal="center"/>
    </xf>
    <xf numFmtId="0" fontId="0" fillId="0" borderId="0" xfId="0" applyFont="1" applyBorder="1" applyAlignment="1">
      <alignment horizontal="left" vertical="center"/>
    </xf>
    <xf numFmtId="0" fontId="0" fillId="0" borderId="0" xfId="0" applyFont="1" applyFill="1" applyBorder="1" applyAlignment="1">
      <alignment horizontal="left" vertical="top" wrapText="1"/>
    </xf>
    <xf numFmtId="0" fontId="0" fillId="0" borderId="0" xfId="0" applyNumberFormat="1" applyFont="1" applyBorder="1" applyAlignment="1">
      <alignment horizontal="center"/>
    </xf>
    <xf numFmtId="0" fontId="0" fillId="0" borderId="0" xfId="0" applyFill="1" applyAlignment="1">
      <alignment wrapText="1"/>
    </xf>
    <xf numFmtId="0" fontId="3" fillId="0" borderId="0" xfId="0" applyFont="1" applyFill="1" applyBorder="1" applyAlignment="1"/>
    <xf numFmtId="0" fontId="3" fillId="0" borderId="18" xfId="0" applyFont="1" applyFill="1" applyBorder="1" applyAlignment="1"/>
    <xf numFmtId="0" fontId="0" fillId="0" borderId="13" xfId="0" applyBorder="1"/>
    <xf numFmtId="0" fontId="0" fillId="0" borderId="17" xfId="0" applyFont="1" applyFill="1" applyBorder="1" applyAlignment="1">
      <alignment horizontal="center"/>
    </xf>
    <xf numFmtId="0" fontId="0" fillId="0" borderId="13" xfId="0" applyFont="1" applyFill="1" applyBorder="1" applyAlignment="1">
      <alignment horizontal="center"/>
    </xf>
    <xf numFmtId="0" fontId="0" fillId="5" borderId="3" xfId="0" applyFill="1" applyBorder="1"/>
    <xf numFmtId="0" fontId="0" fillId="5" borderId="4" xfId="0" applyFill="1" applyBorder="1"/>
    <xf numFmtId="0" fontId="0" fillId="0" borderId="9" xfId="0" applyFont="1" applyBorder="1"/>
    <xf numFmtId="0" fontId="3" fillId="0" borderId="9" xfId="0" applyFont="1" applyBorder="1"/>
    <xf numFmtId="0" fontId="0" fillId="0" borderId="9" xfId="0" applyFont="1" applyBorder="1" applyAlignment="1">
      <alignment vertical="center" wrapText="1"/>
    </xf>
    <xf numFmtId="0" fontId="0" fillId="0" borderId="9" xfId="0" applyFont="1" applyFill="1" applyBorder="1" applyAlignment="1">
      <alignment vertical="top" wrapText="1"/>
    </xf>
    <xf numFmtId="0" fontId="0" fillId="0" borderId="9" xfId="0" applyFont="1" applyFill="1" applyBorder="1" applyAlignment="1">
      <alignment horizontal="left" vertical="top" wrapText="1"/>
    </xf>
    <xf numFmtId="0" fontId="0" fillId="0" borderId="9" xfId="0" applyFill="1" applyBorder="1"/>
    <xf numFmtId="0" fontId="0" fillId="0" borderId="13" xfId="0" applyFill="1" applyBorder="1" applyAlignment="1">
      <alignment horizontal="center"/>
    </xf>
    <xf numFmtId="0" fontId="3" fillId="0" borderId="29" xfId="0" applyFont="1" applyBorder="1" applyAlignment="1">
      <alignment vertical="top" wrapText="1"/>
    </xf>
    <xf numFmtId="0" fontId="0" fillId="0" borderId="9"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9" xfId="0" applyFont="1" applyBorder="1" applyAlignment="1">
      <alignment horizontal="left" vertical="top" wrapText="1"/>
    </xf>
    <xf numFmtId="0" fontId="3" fillId="0" borderId="0" xfId="0" applyFont="1" applyAlignment="1">
      <alignment wrapText="1"/>
    </xf>
    <xf numFmtId="0" fontId="0" fillId="9" borderId="19" xfId="0" applyFont="1" applyFill="1" applyBorder="1"/>
    <xf numFmtId="0" fontId="0" fillId="9" borderId="20" xfId="0" applyFont="1" applyFill="1" applyBorder="1"/>
    <xf numFmtId="0" fontId="0" fillId="9" borderId="23" xfId="0" applyFont="1" applyFill="1" applyBorder="1"/>
    <xf numFmtId="0" fontId="3" fillId="0" borderId="0" xfId="0" applyFont="1" applyBorder="1" applyAlignment="1">
      <alignment vertical="top"/>
    </xf>
    <xf numFmtId="0" fontId="0" fillId="0" borderId="0" xfId="0" applyFont="1" applyBorder="1" applyAlignment="1">
      <alignment vertical="center" wrapText="1"/>
    </xf>
    <xf numFmtId="0" fontId="0" fillId="0" borderId="0" xfId="0" applyBorder="1" applyAlignment="1">
      <alignment vertical="top" wrapText="1"/>
    </xf>
    <xf numFmtId="0" fontId="0" fillId="0" borderId="6" xfId="0" applyNumberFormat="1" applyFont="1" applyBorder="1" applyAlignment="1">
      <alignment horizontal="center"/>
    </xf>
    <xf numFmtId="0" fontId="0" fillId="5" borderId="32" xfId="0" applyFont="1" applyFill="1" applyBorder="1" applyAlignment="1">
      <alignment horizontal="center"/>
    </xf>
    <xf numFmtId="0" fontId="0" fillId="5" borderId="30" xfId="0" applyFont="1" applyFill="1" applyBorder="1" applyAlignment="1">
      <alignment horizontal="center"/>
    </xf>
    <xf numFmtId="0" fontId="0" fillId="5" borderId="33" xfId="0" applyFill="1" applyBorder="1"/>
    <xf numFmtId="0" fontId="0" fillId="0" borderId="0" xfId="0" applyFill="1" applyBorder="1" applyAlignment="1">
      <alignment horizontal="center"/>
    </xf>
    <xf numFmtId="0" fontId="0" fillId="0" borderId="0" xfId="0" applyFill="1" applyBorder="1"/>
    <xf numFmtId="0" fontId="3" fillId="0" borderId="8" xfId="0" applyFont="1" applyBorder="1" applyAlignment="1">
      <alignment vertical="top"/>
    </xf>
    <xf numFmtId="0" fontId="3" fillId="0" borderId="9" xfId="0" applyFont="1" applyBorder="1" applyAlignment="1">
      <alignment vertical="top" wrapText="1"/>
    </xf>
    <xf numFmtId="0" fontId="0" fillId="0" borderId="8" xfId="0" applyFont="1" applyBorder="1"/>
    <xf numFmtId="0" fontId="0" fillId="0" borderId="9" xfId="0" applyFont="1" applyBorder="1" applyAlignment="1">
      <alignment horizontal="left" vertical="center"/>
    </xf>
    <xf numFmtId="0" fontId="0" fillId="0" borderId="9" xfId="0" applyFont="1" applyBorder="1" applyAlignment="1">
      <alignment horizontal="left" vertical="center" wrapText="1"/>
    </xf>
    <xf numFmtId="0" fontId="0" fillId="0" borderId="9" xfId="0" applyBorder="1" applyAlignment="1">
      <alignment vertical="top" wrapText="1"/>
    </xf>
    <xf numFmtId="0" fontId="5" fillId="0" borderId="0" xfId="0" applyFont="1" applyFill="1" applyBorder="1" applyAlignment="1">
      <alignment horizontal="center"/>
    </xf>
    <xf numFmtId="0" fontId="0" fillId="0" borderId="8" xfId="0" applyFont="1" applyBorder="1" applyAlignment="1">
      <alignment vertical="top"/>
    </xf>
    <xf numFmtId="0" fontId="0" fillId="0" borderId="8" xfId="0" applyFont="1" applyBorder="1" applyAlignment="1">
      <alignment vertical="top" wrapText="1"/>
    </xf>
    <xf numFmtId="9" fontId="0" fillId="0" borderId="8" xfId="2" applyFont="1" applyBorder="1"/>
    <xf numFmtId="0" fontId="0" fillId="0" borderId="8" xfId="0" applyFont="1" applyFill="1" applyBorder="1" applyAlignment="1">
      <alignment vertical="top"/>
    </xf>
    <xf numFmtId="0" fontId="0" fillId="0" borderId="8" xfId="0" applyFont="1" applyFill="1" applyBorder="1" applyAlignment="1">
      <alignment horizontal="left" vertical="top" wrapText="1"/>
    </xf>
    <xf numFmtId="0" fontId="0" fillId="0" borderId="8" xfId="0" applyFill="1" applyBorder="1" applyAlignment="1">
      <alignment vertical="top" wrapText="1"/>
    </xf>
    <xf numFmtId="0" fontId="0" fillId="0" borderId="0" xfId="0" applyFill="1" applyBorder="1" applyAlignment="1">
      <alignment vertical="top" wrapText="1"/>
    </xf>
    <xf numFmtId="0" fontId="0" fillId="0" borderId="13" xfId="0" applyFill="1" applyBorder="1"/>
    <xf numFmtId="0" fontId="0" fillId="0" borderId="0" xfId="0" applyFont="1" applyBorder="1" applyAlignment="1">
      <alignment wrapText="1"/>
    </xf>
    <xf numFmtId="0" fontId="0" fillId="0" borderId="8" xfId="0" applyFont="1" applyBorder="1" applyAlignment="1">
      <alignment wrapText="1"/>
    </xf>
    <xf numFmtId="0" fontId="0" fillId="0" borderId="8" xfId="0" applyFont="1" applyBorder="1" applyAlignment="1">
      <alignment horizontal="left" wrapText="1"/>
    </xf>
    <xf numFmtId="0" fontId="4" fillId="0" borderId="8" xfId="0" applyFont="1" applyFill="1" applyBorder="1" applyAlignment="1">
      <alignment horizontal="center"/>
    </xf>
    <xf numFmtId="0" fontId="0" fillId="0" borderId="8" xfId="0" applyFont="1" applyBorder="1" applyAlignment="1">
      <alignment vertical="center" wrapText="1"/>
    </xf>
    <xf numFmtId="0" fontId="0" fillId="0" borderId="8" xfId="0" applyBorder="1" applyAlignment="1">
      <alignment vertical="top" wrapText="1"/>
    </xf>
    <xf numFmtId="0" fontId="0" fillId="0" borderId="8"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11" fillId="0" borderId="0" xfId="0" applyFont="1" applyAlignment="1">
      <alignment horizontal="left" vertical="top" wrapText="1"/>
    </xf>
    <xf numFmtId="0" fontId="0" fillId="0" borderId="0" xfId="0" applyBorder="1" applyAlignment="1">
      <alignment horizontal="left" vertical="top" wrapText="1"/>
    </xf>
    <xf numFmtId="0" fontId="0" fillId="0" borderId="11" xfId="0" applyFill="1" applyBorder="1"/>
    <xf numFmtId="0" fontId="0" fillId="0" borderId="6" xfId="0" applyFill="1" applyBorder="1"/>
    <xf numFmtId="0" fontId="0" fillId="0" borderId="7" xfId="0" applyFill="1" applyBorder="1"/>
    <xf numFmtId="0" fontId="0" fillId="5" borderId="34" xfId="0" applyFill="1" applyBorder="1" applyAlignment="1">
      <alignment horizontal="center"/>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3" fillId="0" borderId="35" xfId="0" applyFont="1" applyFill="1" applyBorder="1" applyAlignment="1"/>
    <xf numFmtId="0" fontId="0" fillId="0" borderId="8" xfId="0" applyFill="1" applyBorder="1" applyAlignment="1">
      <alignment horizontal="center"/>
    </xf>
    <xf numFmtId="0" fontId="3" fillId="0" borderId="0" xfId="0" applyFont="1" applyBorder="1" applyAlignment="1">
      <alignment vertical="center"/>
    </xf>
    <xf numFmtId="0" fontId="0" fillId="9" borderId="36" xfId="0" applyFont="1" applyFill="1" applyBorder="1"/>
    <xf numFmtId="0" fontId="15" fillId="0" borderId="0" xfId="0" applyFont="1"/>
    <xf numFmtId="0" fontId="10" fillId="0" borderId="0" xfId="0" applyFont="1"/>
    <xf numFmtId="0" fontId="10" fillId="5" borderId="2" xfId="0" applyFont="1" applyFill="1" applyBorder="1"/>
    <xf numFmtId="0" fontId="10" fillId="0" borderId="8" xfId="0" applyFont="1" applyBorder="1"/>
    <xf numFmtId="0" fontId="10" fillId="0" borderId="5" xfId="0" applyFont="1" applyBorder="1"/>
    <xf numFmtId="0" fontId="10" fillId="0" borderId="8" xfId="0" applyFont="1" applyFill="1" applyBorder="1" applyAlignment="1"/>
    <xf numFmtId="0" fontId="10" fillId="0" borderId="8" xfId="0" applyFont="1" applyBorder="1" applyAlignment="1">
      <alignment horizontal="right"/>
    </xf>
    <xf numFmtId="0" fontId="5" fillId="0" borderId="8" xfId="0" applyFont="1" applyBorder="1"/>
    <xf numFmtId="0" fontId="10" fillId="0" borderId="8" xfId="0" applyFont="1" applyBorder="1" applyAlignment="1">
      <alignment vertical="top"/>
    </xf>
    <xf numFmtId="0" fontId="10" fillId="0" borderId="5" xfId="0" applyFont="1" applyFill="1" applyBorder="1"/>
    <xf numFmtId="0" fontId="10" fillId="0" borderId="8" xfId="0" applyFont="1" applyFill="1" applyBorder="1"/>
    <xf numFmtId="0" fontId="3" fillId="0" borderId="0" xfId="0" applyFont="1" applyBorder="1" applyAlignment="1">
      <alignment horizontal="left" vertical="center"/>
    </xf>
    <xf numFmtId="0" fontId="0" fillId="0" borderId="0" xfId="0" applyBorder="1" applyAlignment="1">
      <alignment vertical="top"/>
    </xf>
    <xf numFmtId="3" fontId="0" fillId="0" borderId="13" xfId="0" applyNumberFormat="1" applyFont="1" applyFill="1" applyBorder="1" applyAlignment="1">
      <alignment horizontal="center"/>
    </xf>
    <xf numFmtId="0" fontId="11" fillId="0" borderId="0" xfId="0" applyFont="1" applyAlignment="1">
      <alignment vertical="top"/>
    </xf>
    <xf numFmtId="0" fontId="0" fillId="0" borderId="0" xfId="0" applyFill="1" applyBorder="1" applyAlignment="1">
      <alignment vertical="top"/>
    </xf>
    <xf numFmtId="0" fontId="3" fillId="0" borderId="6" xfId="0" applyFont="1" applyFill="1" applyBorder="1" applyAlignment="1">
      <alignment vertical="top"/>
    </xf>
    <xf numFmtId="0" fontId="0" fillId="0" borderId="5" xfId="0" applyFill="1" applyBorder="1"/>
    <xf numFmtId="0" fontId="0" fillId="0" borderId="37" xfId="0" applyFill="1" applyBorder="1"/>
    <xf numFmtId="0" fontId="0" fillId="0" borderId="0" xfId="0" applyFont="1" applyFill="1" applyBorder="1" applyAlignment="1">
      <alignment horizontal="left" vertical="top"/>
    </xf>
    <xf numFmtId="0" fontId="5" fillId="0" borderId="8" xfId="0" applyFont="1" applyFill="1" applyBorder="1"/>
    <xf numFmtId="0" fontId="5" fillId="0" borderId="10" xfId="0" applyFont="1" applyFill="1" applyBorder="1"/>
    <xf numFmtId="0" fontId="0" fillId="0" borderId="11" xfId="0" applyFont="1" applyFill="1" applyBorder="1" applyAlignment="1">
      <alignment vertical="top"/>
    </xf>
    <xf numFmtId="0" fontId="0" fillId="0" borderId="11" xfId="0" applyFont="1" applyFill="1" applyBorder="1"/>
    <xf numFmtId="0" fontId="0" fillId="0" borderId="28" xfId="0" applyFill="1" applyBorder="1"/>
    <xf numFmtId="0" fontId="0" fillId="0" borderId="0" xfId="0" applyFont="1" applyFill="1" applyBorder="1" applyAlignment="1">
      <alignment horizontal="left" vertical="top" wrapText="1"/>
    </xf>
    <xf numFmtId="0" fontId="0" fillId="5" borderId="9" xfId="0" applyFill="1" applyBorder="1"/>
    <xf numFmtId="0" fontId="5" fillId="0" borderId="0" xfId="0" applyFont="1" applyAlignment="1">
      <alignment horizontal="center"/>
    </xf>
    <xf numFmtId="0" fontId="0" fillId="5" borderId="6" xfId="0" applyFill="1" applyBorder="1"/>
    <xf numFmtId="0" fontId="3" fillId="5" borderId="6" xfId="0" applyFont="1" applyFill="1" applyBorder="1"/>
    <xf numFmtId="0" fontId="0" fillId="5" borderId="7" xfId="0" applyFill="1" applyBorder="1"/>
    <xf numFmtId="0" fontId="10" fillId="5" borderId="5" xfId="0" applyFont="1" applyFill="1" applyBorder="1"/>
    <xf numFmtId="0" fontId="0" fillId="5" borderId="38" xfId="0" applyFill="1" applyBorder="1" applyAlignment="1">
      <alignment horizontal="center"/>
    </xf>
    <xf numFmtId="0" fontId="0" fillId="5" borderId="23" xfId="0" applyFont="1" applyFill="1" applyBorder="1" applyAlignment="1">
      <alignment horizontal="center"/>
    </xf>
    <xf numFmtId="0" fontId="0" fillId="5" borderId="21" xfId="0" applyFont="1" applyFill="1" applyBorder="1" applyAlignment="1">
      <alignment horizontal="center"/>
    </xf>
    <xf numFmtId="0" fontId="0" fillId="5" borderId="39" xfId="0" applyFill="1" applyBorder="1"/>
    <xf numFmtId="0" fontId="10" fillId="5" borderId="10" xfId="0" applyFont="1" applyFill="1" applyBorder="1"/>
    <xf numFmtId="0" fontId="0" fillId="5" borderId="11" xfId="0" applyFill="1" applyBorder="1"/>
    <xf numFmtId="0" fontId="3" fillId="5" borderId="11" xfId="0" applyFont="1" applyFill="1" applyBorder="1"/>
    <xf numFmtId="0" fontId="0" fillId="5" borderId="12" xfId="0" applyFill="1" applyBorder="1"/>
    <xf numFmtId="0" fontId="3" fillId="5" borderId="11" xfId="0" applyFont="1" applyFill="1" applyBorder="1" applyAlignment="1">
      <alignment horizontal="right"/>
    </xf>
    <xf numFmtId="0" fontId="0" fillId="5" borderId="25" xfId="0" applyFill="1" applyBorder="1"/>
    <xf numFmtId="0" fontId="0" fillId="10" borderId="24" xfId="0" applyFont="1" applyFill="1" applyBorder="1" applyAlignment="1">
      <alignment horizontal="center"/>
    </xf>
    <xf numFmtId="0" fontId="2" fillId="2" borderId="24" xfId="3" applyFont="1" applyBorder="1" applyAlignment="1">
      <alignment horizontal="center" vertical="center"/>
    </xf>
    <xf numFmtId="0" fontId="0" fillId="9" borderId="20" xfId="0" applyFont="1" applyFill="1" applyBorder="1" applyAlignment="1">
      <alignment vertical="center"/>
    </xf>
    <xf numFmtId="3" fontId="0" fillId="0" borderId="0" xfId="0" applyNumberFormat="1" applyFill="1" applyBorder="1" applyAlignment="1">
      <alignment horizontal="center"/>
    </xf>
    <xf numFmtId="0" fontId="12" fillId="0" borderId="0" xfId="0" applyFont="1" applyFill="1" applyBorder="1" applyAlignment="1">
      <alignment horizontal="left" vertical="top"/>
    </xf>
    <xf numFmtId="0" fontId="12" fillId="0" borderId="0" xfId="0" applyFont="1" applyFill="1" applyBorder="1" applyAlignment="1">
      <alignment horizontal="center"/>
    </xf>
    <xf numFmtId="3" fontId="12" fillId="0" borderId="0" xfId="0" applyNumberFormat="1" applyFont="1" applyFill="1" applyBorder="1" applyAlignment="1">
      <alignment horizontal="center"/>
    </xf>
    <xf numFmtId="4" fontId="12" fillId="0" borderId="0" xfId="0" applyNumberFormat="1" applyFont="1" applyFill="1" applyBorder="1" applyAlignment="1" applyProtection="1">
      <alignment horizontal="center"/>
      <protection locked="0"/>
    </xf>
    <xf numFmtId="169" fontId="12" fillId="0" borderId="0" xfId="0" applyNumberFormat="1" applyFont="1" applyFill="1" applyBorder="1" applyAlignment="1" applyProtection="1">
      <alignment horizontal="center"/>
      <protection locked="0"/>
    </xf>
    <xf numFmtId="0" fontId="12" fillId="0" borderId="0" xfId="0" applyFont="1" applyFill="1" applyBorder="1" applyAlignment="1">
      <alignment horizontal="left"/>
    </xf>
    <xf numFmtId="169" fontId="4" fillId="3" borderId="1" xfId="0" applyNumberFormat="1" applyFont="1" applyFill="1" applyBorder="1" applyAlignment="1" applyProtection="1">
      <alignment horizontal="center"/>
    </xf>
    <xf numFmtId="4" fontId="4" fillId="3" borderId="1" xfId="0" applyNumberFormat="1" applyFont="1" applyFill="1" applyBorder="1" applyAlignment="1" applyProtection="1">
      <alignment horizontal="center"/>
    </xf>
    <xf numFmtId="14" fontId="0" fillId="0" borderId="22" xfId="0" applyNumberFormat="1" applyBorder="1" applyAlignment="1" applyProtection="1">
      <alignment horizontal="center"/>
    </xf>
    <xf numFmtId="0" fontId="3" fillId="5" borderId="25" xfId="0" applyFont="1" applyFill="1" applyBorder="1" applyAlignment="1" applyProtection="1">
      <alignment horizontal="left" vertical="center"/>
    </xf>
    <xf numFmtId="0" fontId="3" fillId="5" borderId="26" xfId="0" applyFont="1" applyFill="1" applyBorder="1" applyAlignment="1" applyProtection="1">
      <alignment horizontal="left" vertical="center"/>
    </xf>
    <xf numFmtId="0" fontId="3" fillId="5" borderId="27" xfId="0" applyFont="1" applyFill="1" applyBorder="1" applyAlignment="1" applyProtection="1">
      <alignment horizontal="left" vertical="center"/>
    </xf>
    <xf numFmtId="0" fontId="0" fillId="0" borderId="6"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3" fillId="5" borderId="25"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3" fillId="5" borderId="14" xfId="0" applyFont="1" applyFill="1" applyBorder="1" applyAlignment="1" applyProtection="1">
      <alignment horizontal="left"/>
    </xf>
    <xf numFmtId="0" fontId="3" fillId="5" borderId="15" xfId="0" applyFont="1" applyFill="1" applyBorder="1" applyAlignment="1" applyProtection="1">
      <alignment horizontal="left"/>
    </xf>
    <xf numFmtId="0" fontId="3" fillId="5" borderId="14" xfId="0" applyFont="1" applyFill="1" applyBorder="1" applyAlignment="1" applyProtection="1">
      <alignment horizontal="left" vertical="top"/>
    </xf>
    <xf numFmtId="0" fontId="3" fillId="5" borderId="15" xfId="0" applyFont="1" applyFill="1" applyBorder="1" applyAlignment="1" applyProtection="1">
      <alignment horizontal="left" vertical="top"/>
    </xf>
    <xf numFmtId="0" fontId="3" fillId="5" borderId="16" xfId="0" applyFont="1" applyFill="1" applyBorder="1" applyAlignment="1" applyProtection="1">
      <alignment horizontal="left" vertical="top"/>
    </xf>
    <xf numFmtId="0" fontId="0" fillId="0" borderId="2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23" xfId="0" applyBorder="1" applyAlignment="1" applyProtection="1">
      <alignment horizontal="left" vertical="top" wrapText="1"/>
    </xf>
    <xf numFmtId="0" fontId="0" fillId="5" borderId="24" xfId="0" applyFill="1" applyBorder="1" applyAlignment="1"/>
    <xf numFmtId="0" fontId="0" fillId="5" borderId="24" xfId="0" applyFill="1" applyBorder="1" applyAlignment="1">
      <alignment vertical="center" wrapText="1"/>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3" fillId="5" borderId="27" xfId="0" applyFont="1" applyFill="1" applyBorder="1" applyAlignment="1">
      <alignment horizontal="left" vertical="center"/>
    </xf>
    <xf numFmtId="0" fontId="0" fillId="5" borderId="24" xfId="0" applyFill="1" applyBorder="1" applyAlignment="1">
      <alignment wrapText="1"/>
    </xf>
    <xf numFmtId="0" fontId="0" fillId="5" borderId="14" xfId="0" applyFill="1" applyBorder="1" applyAlignment="1"/>
    <xf numFmtId="0" fontId="0" fillId="5" borderId="15" xfId="0" applyFill="1" applyBorder="1" applyAlignment="1"/>
    <xf numFmtId="0" fontId="0" fillId="0" borderId="14" xfId="0" applyBorder="1" applyAlignment="1" applyProtection="1">
      <protection locked="0"/>
    </xf>
    <xf numFmtId="0" fontId="0" fillId="0" borderId="16" xfId="0" applyBorder="1" applyAlignment="1" applyProtection="1">
      <protection locked="0"/>
    </xf>
    <xf numFmtId="14" fontId="0" fillId="0" borderId="14" xfId="0" applyNumberFormat="1" applyBorder="1" applyAlignment="1" applyProtection="1">
      <alignment horizontal="left"/>
      <protection locked="0"/>
    </xf>
    <xf numFmtId="14" fontId="0" fillId="0" borderId="16" xfId="0" applyNumberFormat="1" applyBorder="1" applyAlignment="1" applyProtection="1">
      <alignment horizontal="left"/>
      <protection locked="0"/>
    </xf>
    <xf numFmtId="0" fontId="0" fillId="5" borderId="31" xfId="0" applyFont="1" applyFill="1" applyBorder="1" applyAlignment="1">
      <alignment horizontal="center"/>
    </xf>
    <xf numFmtId="0" fontId="3" fillId="0" borderId="0" xfId="0" applyFont="1" applyAlignment="1">
      <alignment horizontal="center" wrapText="1"/>
    </xf>
    <xf numFmtId="0" fontId="11" fillId="0" borderId="0" xfId="0" applyFont="1" applyAlignment="1">
      <alignment horizontal="left" vertical="top" wrapText="1"/>
    </xf>
    <xf numFmtId="0" fontId="0" fillId="5" borderId="22" xfId="0" applyFont="1" applyFill="1" applyBorder="1" applyAlignment="1">
      <alignment horizontal="center"/>
    </xf>
    <xf numFmtId="0" fontId="0" fillId="0" borderId="0" xfId="0" applyFont="1" applyBorder="1" applyAlignment="1">
      <alignment horizontal="left" vertical="top" wrapText="1"/>
    </xf>
    <xf numFmtId="0" fontId="5" fillId="4" borderId="2"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xf numFmtId="0" fontId="5" fillId="4" borderId="4" xfId="0" applyFont="1" applyFill="1" applyBorder="1" applyAlignment="1" applyProtection="1">
      <alignment horizontal="left"/>
      <protection locked="0"/>
    </xf>
    <xf numFmtId="0" fontId="0" fillId="0" borderId="0" xfId="0"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0" fillId="0" borderId="9" xfId="0" applyFont="1" applyBorder="1" applyAlignment="1">
      <alignment horizontal="left" vertical="top" wrapText="1"/>
    </xf>
    <xf numFmtId="0" fontId="0" fillId="0" borderId="0" xfId="0" applyFont="1" applyAlignment="1">
      <alignment horizontal="left" vertical="top" wrapText="1"/>
    </xf>
    <xf numFmtId="0" fontId="5" fillId="4" borderId="2"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0" fillId="4" borderId="2" xfId="0" applyNumberFormat="1" applyFont="1" applyFill="1" applyBorder="1" applyAlignment="1" applyProtection="1">
      <alignment horizontal="center"/>
      <protection locked="0"/>
    </xf>
    <xf numFmtId="0" fontId="0" fillId="4" borderId="4" xfId="0" applyNumberFormat="1" applyFont="1" applyFill="1" applyBorder="1" applyAlignment="1" applyProtection="1">
      <alignment horizontal="center"/>
      <protection locked="0"/>
    </xf>
    <xf numFmtId="0" fontId="0" fillId="0" borderId="0" xfId="0" applyFont="1" applyAlignment="1">
      <alignment horizontal="center" vertical="top" wrapText="1"/>
    </xf>
    <xf numFmtId="0" fontId="3" fillId="0" borderId="3" xfId="0" applyFont="1" applyBorder="1" applyAlignment="1">
      <alignment horizontal="center"/>
    </xf>
    <xf numFmtId="0" fontId="3" fillId="0" borderId="4" xfId="0" applyFont="1" applyBorder="1" applyAlignment="1">
      <alignment horizontal="center"/>
    </xf>
    <xf numFmtId="1" fontId="0" fillId="0" borderId="6" xfId="1" applyNumberFormat="1" applyFont="1" applyBorder="1" applyAlignment="1">
      <alignment horizontal="center"/>
    </xf>
    <xf numFmtId="1" fontId="0" fillId="0" borderId="7" xfId="1" applyNumberFormat="1"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cellXfs>
  <cellStyles count="13">
    <cellStyle name="Bad" xfId="3" builtinId="27"/>
    <cellStyle name="Comma" xfId="1" builtinId="3"/>
    <cellStyle name="Currency 2" xfId="7" xr:uid="{B2F972BE-DE86-4E50-A5BD-C5F3B6BE4504}"/>
    <cellStyle name="Neutral 2" xfId="11" xr:uid="{14F99D07-5136-49B8-8090-BA65F283ABE0}"/>
    <cellStyle name="Normal" xfId="0" builtinId="0"/>
    <cellStyle name="Normal 2" xfId="4" xr:uid="{00000000-0005-0000-0000-000004000000}"/>
    <cellStyle name="Normal 2 92" xfId="10" xr:uid="{F574A2E8-3D40-49F5-A479-AA279A027C7C}"/>
    <cellStyle name="Normal 3" xfId="12" xr:uid="{FF36F144-40DE-4F79-BC0A-AF8C9388B53F}"/>
    <cellStyle name="Normal 4" xfId="8" xr:uid="{7E4912DC-76EA-484F-B805-73241902153D}"/>
    <cellStyle name="Normal 5" xfId="5" xr:uid="{00000000-0005-0000-0000-000005000000}"/>
    <cellStyle name="Normal 6" xfId="6" xr:uid="{96EBA442-F60D-4B20-A369-6CD4B57F1D66}"/>
    <cellStyle name="Percent" xfId="2" builtinId="5"/>
    <cellStyle name="Percent 2" xfId="9" xr:uid="{F73515D1-2B3B-4214-B2A9-4298909F6D37}"/>
  </cellStyles>
  <dxfs count="2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ont>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C00000"/>
      </font>
      <fill>
        <patternFill>
          <bgColor rgb="FFFFCCCC"/>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ill>
        <patternFill patternType="lightUp">
          <fgColor theme="0"/>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ill>
        <patternFill>
          <bgColor theme="9" tint="0.59996337778862885"/>
        </patternFill>
      </fill>
    </dxf>
    <dxf>
      <fill>
        <patternFill patternType="none">
          <bgColor auto="1"/>
        </patternFill>
      </fill>
      <border diagonalUp="0" diagonalDown="0">
        <left/>
        <right/>
        <top/>
        <bottom/>
        <vertical/>
        <horizontal/>
      </border>
    </dxf>
  </dxfs>
  <tableStyles count="2" defaultTableStyle="TableStyleMedium2" defaultPivotStyle="PivotStyleLight16">
    <tableStyle name="Table Style 1" pivot="0" count="1" xr9:uid="{4270966A-8610-45EC-869D-50FF24CF6FF9}">
      <tableStyleElement type="wholeTable" dxfId="246"/>
    </tableStyle>
    <tableStyle name="Table Style 2" pivot="0" count="0" xr9:uid="{8BA15238-1481-4704-91AB-92B52FE55B94}"/>
  </tableStyles>
  <colors>
    <mruColors>
      <color rgb="FF0033CC"/>
      <color rgb="FFFFCCCC"/>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193826</xdr:colOff>
      <xdr:row>12</xdr:row>
      <xdr:rowOff>47625</xdr:rowOff>
    </xdr:from>
    <xdr:to>
      <xdr:col>13</xdr:col>
      <xdr:colOff>185480</xdr:colOff>
      <xdr:row>20</xdr:row>
      <xdr:rowOff>133350</xdr:rowOff>
    </xdr:to>
    <xdr:pic>
      <xdr:nvPicPr>
        <xdr:cNvPr id="2" name="Picture 1">
          <a:extLst>
            <a:ext uri="{FF2B5EF4-FFF2-40B4-BE49-F238E27FC236}">
              <a16:creationId xmlns:a16="http://schemas.microsoft.com/office/drawing/2014/main" id="{9E3A8018-D87A-4702-A245-504730D69BBF}"/>
            </a:ext>
          </a:extLst>
        </xdr:cNvPr>
        <xdr:cNvPicPr/>
      </xdr:nvPicPr>
      <xdr:blipFill>
        <a:blip xmlns:r="http://schemas.openxmlformats.org/officeDocument/2006/relationships" r:embed="rId1"/>
        <a:stretch>
          <a:fillRect/>
        </a:stretch>
      </xdr:blipFill>
      <xdr:spPr>
        <a:xfrm>
          <a:off x="1984526" y="2343150"/>
          <a:ext cx="6878229" cy="174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115901</xdr:colOff>
      <xdr:row>120</xdr:row>
      <xdr:rowOff>54551</xdr:rowOff>
    </xdr:from>
    <xdr:to>
      <xdr:col>21</xdr:col>
      <xdr:colOff>1962990</xdr:colOff>
      <xdr:row>129</xdr:row>
      <xdr:rowOff>25553</xdr:rowOff>
    </xdr:to>
    <xdr:pic>
      <xdr:nvPicPr>
        <xdr:cNvPr id="3" name="Picture 2">
          <a:extLst>
            <a:ext uri="{FF2B5EF4-FFF2-40B4-BE49-F238E27FC236}">
              <a16:creationId xmlns:a16="http://schemas.microsoft.com/office/drawing/2014/main" id="{38EFAD4D-8905-4F9F-8061-735BFB89B05F}"/>
            </a:ext>
          </a:extLst>
        </xdr:cNvPr>
        <xdr:cNvPicPr>
          <a:picLocks noChangeAspect="1"/>
        </xdr:cNvPicPr>
      </xdr:nvPicPr>
      <xdr:blipFill>
        <a:blip xmlns:r="http://schemas.openxmlformats.org/officeDocument/2006/relationships" r:embed="rId1"/>
        <a:stretch>
          <a:fillRect/>
        </a:stretch>
      </xdr:blipFill>
      <xdr:spPr>
        <a:xfrm>
          <a:off x="11822126" y="22438301"/>
          <a:ext cx="2732914" cy="1771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Projects%20-%20Residential\ENERGY%20STAR%20New%20Homes\ENERGY%20STAR%20v3%20(2011)\HVAC%20QI%20HERS%20Working%20Group\Std%20310%20Calculator\Multi%20Fault%20Tests%20v1%202018-06-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or"/>
      <sheetName val="Sheet1"/>
      <sheetName val="Sheet4"/>
      <sheetName val="Fault Calculations"/>
      <sheetName val="Lookup"/>
      <sheetName val="Temp Energy Regression"/>
      <sheetName val="Weather Locations"/>
      <sheetName val="(FYI Only) Energy Regressions"/>
    </sheetNames>
    <sheetDataSet>
      <sheetData sheetId="0"/>
      <sheetData sheetId="1"/>
      <sheetData sheetId="2"/>
      <sheetData sheetId="3"/>
      <sheetData sheetId="4"/>
      <sheetData sheetId="5"/>
      <sheetData sheetId="6">
        <row r="2">
          <cell r="E2">
            <v>70</v>
          </cell>
        </row>
      </sheetData>
      <sheetData sheetId="7"/>
    </sheetDataSet>
  </externalBook>
</externalLink>
</file>

<file path=xl/persons/person.xml><?xml version="1.0" encoding="utf-8"?>
<personList xmlns="http://schemas.microsoft.com/office/spreadsheetml/2018/threadedcomments" xmlns:x="http://schemas.openxmlformats.org/spreadsheetml/2006/main">
  <person displayName="Gamble, Dean" id="{258BB14F-BB0B-4E7A-8C1B-D4A19A6A0BFE}" userId="S::Gamble.Dean@epa.gov::491367d8-ff5e-4e81-b0bd-5cae7718651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2" dT="2020-04-09T18:56:28.41" personId="{258BB14F-BB0B-4E7A-8C1B-D4A19A6A0BFE}" id="{C1049E5B-15ED-4B5A-B4E2-FA6B304CFF6E}">
    <text>Predominant means the SHGC value used in the greatest amount of window area for each zone.</text>
  </threadedComment>
  <threadedComment ref="B107" dT="2020-04-09T18:57:24.49" personId="{258BB14F-BB0B-4E7A-8C1B-D4A19A6A0BFE}" id="{650637AD-D1EF-4073-867F-D56FF29832BD}">
    <text>Predominant means the wall insulation R-value used in the greatest amount of above-grade wall area for each zone.</text>
  </threadedComment>
  <threadedComment ref="B112" dT="2020-04-09T18:57:24.49" personId="{258BB14F-BB0B-4E7A-8C1B-D4A19A6A0BFE}" id="{A3900D3A-F9E7-4439-8D9D-8D4C5C236641}">
    <text>Predominant means the ceiling insulation R-value used in the greatest amount of ceiling area for each zone.</text>
  </threadedComment>
  <threadedComment ref="B136" dT="2021-02-11T16:14:57.50" personId="{258BB14F-BB0B-4E7A-8C1B-D4A19A6A0BFE}" id="{D1DEDF8C-0743-494A-9A76-6F98201353D8}">
    <text>Examples of equipment types include AC, Boiler, Furnace, Heat Pump, or Other.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BFBD7-8289-4D4D-8494-3C0ECAE227F8}">
  <sheetPr codeName="Sheet4">
    <tabColor theme="8"/>
  </sheetPr>
  <dimension ref="A1:T55"/>
  <sheetViews>
    <sheetView showGridLines="0" topLeftCell="A25" zoomScaleNormal="100" zoomScaleSheetLayoutView="85" workbookViewId="0"/>
  </sheetViews>
  <sheetFormatPr defaultColWidth="9.28515625" defaultRowHeight="15" x14ac:dyDescent="0.25"/>
  <cols>
    <col min="1" max="1" width="5.28515625" style="101" customWidth="1"/>
    <col min="2" max="2" width="17.7109375" style="101" bestFit="1" customWidth="1"/>
    <col min="3" max="3" width="3.7109375" style="101" customWidth="1"/>
    <col min="4" max="4" width="10.42578125" style="101" customWidth="1"/>
    <col min="5" max="5" width="14" style="101" customWidth="1"/>
    <col min="6" max="10" width="9.28515625" style="101"/>
    <col min="11" max="11" width="15.5703125" style="101" customWidth="1"/>
    <col min="12" max="12" width="5.42578125" style="101" customWidth="1"/>
    <col min="13" max="13" width="12.28515625" style="101" customWidth="1"/>
    <col min="14" max="16384" width="9.28515625" style="101"/>
  </cols>
  <sheetData>
    <row r="1" spans="1:20" ht="15.75" thickBot="1" x14ac:dyDescent="0.3">
      <c r="A1" s="1" t="s">
        <v>481</v>
      </c>
    </row>
    <row r="2" spans="1:20" ht="15" customHeight="1" x14ac:dyDescent="0.25">
      <c r="B2" s="379" t="s">
        <v>320</v>
      </c>
      <c r="C2" s="373" t="s">
        <v>482</v>
      </c>
      <c r="D2" s="373"/>
      <c r="E2" s="373"/>
      <c r="F2" s="373"/>
      <c r="G2" s="373"/>
      <c r="H2" s="373"/>
      <c r="I2" s="373"/>
      <c r="J2" s="373"/>
      <c r="K2" s="373"/>
      <c r="L2" s="373"/>
      <c r="M2" s="373"/>
      <c r="N2" s="373"/>
      <c r="O2" s="374"/>
      <c r="P2" s="102"/>
      <c r="Q2" s="102"/>
      <c r="R2" s="102"/>
      <c r="S2" s="102"/>
      <c r="T2" s="102"/>
    </row>
    <row r="3" spans="1:20" x14ac:dyDescent="0.25">
      <c r="B3" s="380"/>
      <c r="C3" s="375"/>
      <c r="D3" s="375"/>
      <c r="E3" s="375"/>
      <c r="F3" s="375"/>
      <c r="G3" s="375"/>
      <c r="H3" s="375"/>
      <c r="I3" s="375"/>
      <c r="J3" s="375"/>
      <c r="K3" s="375"/>
      <c r="L3" s="375"/>
      <c r="M3" s="375"/>
      <c r="N3" s="375"/>
      <c r="O3" s="376"/>
      <c r="P3" s="102"/>
      <c r="Q3" s="102"/>
      <c r="R3" s="102"/>
      <c r="S3" s="102"/>
      <c r="T3" s="102"/>
    </row>
    <row r="4" spans="1:20" x14ac:dyDescent="0.25">
      <c r="B4" s="380"/>
      <c r="C4" s="375"/>
      <c r="D4" s="375"/>
      <c r="E4" s="375"/>
      <c r="F4" s="375"/>
      <c r="G4" s="375"/>
      <c r="H4" s="375"/>
      <c r="I4" s="375"/>
      <c r="J4" s="375"/>
      <c r="K4" s="375"/>
      <c r="L4" s="375"/>
      <c r="M4" s="375"/>
      <c r="N4" s="375"/>
      <c r="O4" s="376"/>
      <c r="P4" s="102"/>
      <c r="Q4" s="102"/>
      <c r="R4" s="102"/>
      <c r="S4" s="102"/>
      <c r="T4" s="102"/>
    </row>
    <row r="5" spans="1:20" x14ac:dyDescent="0.25">
      <c r="B5" s="380"/>
      <c r="C5" s="375"/>
      <c r="D5" s="375"/>
      <c r="E5" s="375"/>
      <c r="F5" s="375"/>
      <c r="G5" s="375"/>
      <c r="H5" s="375"/>
      <c r="I5" s="375"/>
      <c r="J5" s="375"/>
      <c r="K5" s="375"/>
      <c r="L5" s="375"/>
      <c r="M5" s="375"/>
      <c r="N5" s="375"/>
      <c r="O5" s="376"/>
      <c r="P5" s="102"/>
      <c r="Q5" s="102"/>
      <c r="R5" s="102"/>
      <c r="S5" s="102"/>
      <c r="T5" s="102"/>
    </row>
    <row r="6" spans="1:20" x14ac:dyDescent="0.25">
      <c r="B6" s="380"/>
      <c r="C6" s="375"/>
      <c r="D6" s="375"/>
      <c r="E6" s="375"/>
      <c r="F6" s="375"/>
      <c r="G6" s="375"/>
      <c r="H6" s="375"/>
      <c r="I6" s="375"/>
      <c r="J6" s="375"/>
      <c r="K6" s="375"/>
      <c r="L6" s="375"/>
      <c r="M6" s="375"/>
      <c r="N6" s="375"/>
      <c r="O6" s="376"/>
      <c r="P6" s="102"/>
      <c r="Q6" s="102"/>
      <c r="R6" s="102"/>
      <c r="S6" s="102"/>
      <c r="T6" s="102"/>
    </row>
    <row r="7" spans="1:20" x14ac:dyDescent="0.25">
      <c r="B7" s="380"/>
      <c r="C7" s="375"/>
      <c r="D7" s="375"/>
      <c r="E7" s="375"/>
      <c r="F7" s="375"/>
      <c r="G7" s="375"/>
      <c r="H7" s="375"/>
      <c r="I7" s="375"/>
      <c r="J7" s="375"/>
      <c r="K7" s="375"/>
      <c r="L7" s="375"/>
      <c r="M7" s="375"/>
      <c r="N7" s="375"/>
      <c r="O7" s="376"/>
      <c r="P7" s="102"/>
      <c r="Q7" s="102"/>
      <c r="R7" s="102"/>
      <c r="S7" s="102"/>
      <c r="T7" s="102"/>
    </row>
    <row r="8" spans="1:20" x14ac:dyDescent="0.25">
      <c r="B8" s="380"/>
      <c r="C8" s="375"/>
      <c r="D8" s="375"/>
      <c r="E8" s="375"/>
      <c r="F8" s="375"/>
      <c r="G8" s="375"/>
      <c r="H8" s="375"/>
      <c r="I8" s="375"/>
      <c r="J8" s="375"/>
      <c r="K8" s="375"/>
      <c r="L8" s="375"/>
      <c r="M8" s="375"/>
      <c r="N8" s="375"/>
      <c r="O8" s="376"/>
      <c r="P8" s="102"/>
      <c r="Q8" s="102"/>
      <c r="R8" s="102"/>
      <c r="S8" s="102"/>
      <c r="T8" s="102"/>
    </row>
    <row r="9" spans="1:20" x14ac:dyDescent="0.25">
      <c r="B9" s="380"/>
      <c r="C9" s="375"/>
      <c r="D9" s="375"/>
      <c r="E9" s="375"/>
      <c r="F9" s="375"/>
      <c r="G9" s="375"/>
      <c r="H9" s="375"/>
      <c r="I9" s="375"/>
      <c r="J9" s="375"/>
      <c r="K9" s="375"/>
      <c r="L9" s="375"/>
      <c r="M9" s="375"/>
      <c r="N9" s="375"/>
      <c r="O9" s="376"/>
      <c r="P9" s="102"/>
      <c r="Q9" s="102"/>
      <c r="R9" s="102"/>
      <c r="S9" s="102"/>
      <c r="T9" s="102"/>
    </row>
    <row r="10" spans="1:20" x14ac:dyDescent="0.25">
      <c r="B10" s="380"/>
      <c r="C10" s="375"/>
      <c r="D10" s="375"/>
      <c r="E10" s="375"/>
      <c r="F10" s="375"/>
      <c r="G10" s="375"/>
      <c r="H10" s="375"/>
      <c r="I10" s="375"/>
      <c r="J10" s="375"/>
      <c r="K10" s="375"/>
      <c r="L10" s="375"/>
      <c r="M10" s="375"/>
      <c r="N10" s="375"/>
      <c r="O10" s="376"/>
      <c r="P10" s="102"/>
      <c r="Q10" s="102"/>
      <c r="R10" s="102"/>
      <c r="S10" s="102"/>
      <c r="T10" s="102"/>
    </row>
    <row r="11" spans="1:20" x14ac:dyDescent="0.25">
      <c r="B11" s="380"/>
      <c r="C11" s="375"/>
      <c r="D11" s="375"/>
      <c r="E11" s="375"/>
      <c r="F11" s="375"/>
      <c r="G11" s="375"/>
      <c r="H11" s="375"/>
      <c r="I11" s="375"/>
      <c r="J11" s="375"/>
      <c r="K11" s="375"/>
      <c r="L11" s="375"/>
      <c r="M11" s="375"/>
      <c r="N11" s="375"/>
      <c r="O11" s="376"/>
      <c r="P11" s="102"/>
      <c r="Q11" s="102"/>
      <c r="R11" s="102"/>
      <c r="S11" s="102"/>
      <c r="T11" s="102"/>
    </row>
    <row r="12" spans="1:20" x14ac:dyDescent="0.25">
      <c r="B12" s="380"/>
      <c r="C12" s="375"/>
      <c r="D12" s="375"/>
      <c r="E12" s="375"/>
      <c r="F12" s="375"/>
      <c r="G12" s="375"/>
      <c r="H12" s="375"/>
      <c r="I12" s="375"/>
      <c r="J12" s="375"/>
      <c r="K12" s="375"/>
      <c r="L12" s="375"/>
      <c r="M12" s="375"/>
      <c r="N12" s="375"/>
      <c r="O12" s="376"/>
      <c r="P12" s="102"/>
      <c r="Q12" s="102"/>
      <c r="R12" s="102"/>
      <c r="S12" s="102"/>
      <c r="T12" s="102"/>
    </row>
    <row r="13" spans="1:20" ht="25.5" customHeight="1" x14ac:dyDescent="0.25">
      <c r="B13" s="380"/>
      <c r="C13" s="375"/>
      <c r="D13" s="375"/>
      <c r="E13" s="375"/>
      <c r="F13" s="375"/>
      <c r="G13" s="375"/>
      <c r="H13" s="375"/>
      <c r="I13" s="375"/>
      <c r="J13" s="375"/>
      <c r="K13" s="375"/>
      <c r="L13" s="375"/>
      <c r="M13" s="375"/>
      <c r="N13" s="375"/>
      <c r="O13" s="376"/>
      <c r="P13" s="102"/>
      <c r="Q13" s="102"/>
      <c r="R13" s="102"/>
      <c r="S13" s="102"/>
      <c r="T13" s="102"/>
    </row>
    <row r="14" spans="1:20" x14ac:dyDescent="0.25">
      <c r="B14" s="380"/>
      <c r="C14" s="375"/>
      <c r="D14" s="375"/>
      <c r="E14" s="375"/>
      <c r="F14" s="375"/>
      <c r="G14" s="375"/>
      <c r="H14" s="375"/>
      <c r="I14" s="375"/>
      <c r="J14" s="375"/>
      <c r="K14" s="375"/>
      <c r="L14" s="375"/>
      <c r="M14" s="375"/>
      <c r="N14" s="375"/>
      <c r="O14" s="376"/>
      <c r="P14" s="102"/>
      <c r="Q14" s="102"/>
      <c r="R14" s="102"/>
      <c r="S14" s="102"/>
      <c r="T14" s="102"/>
    </row>
    <row r="15" spans="1:20" x14ac:dyDescent="0.25">
      <c r="B15" s="380"/>
      <c r="C15" s="375"/>
      <c r="D15" s="375"/>
      <c r="E15" s="375"/>
      <c r="F15" s="375"/>
      <c r="G15" s="375"/>
      <c r="H15" s="375"/>
      <c r="I15" s="375"/>
      <c r="J15" s="375"/>
      <c r="K15" s="375"/>
      <c r="L15" s="375"/>
      <c r="M15" s="375"/>
      <c r="N15" s="375"/>
      <c r="O15" s="376"/>
      <c r="P15" s="102"/>
      <c r="Q15" s="102"/>
      <c r="R15" s="102"/>
      <c r="S15" s="102"/>
      <c r="T15" s="102"/>
    </row>
    <row r="16" spans="1:20" x14ac:dyDescent="0.25">
      <c r="B16" s="380"/>
      <c r="C16" s="375"/>
      <c r="D16" s="375"/>
      <c r="E16" s="375"/>
      <c r="F16" s="375"/>
      <c r="G16" s="375"/>
      <c r="H16" s="375"/>
      <c r="I16" s="375"/>
      <c r="J16" s="375"/>
      <c r="K16" s="375"/>
      <c r="L16" s="375"/>
      <c r="M16" s="375"/>
      <c r="N16" s="375"/>
      <c r="O16" s="376"/>
      <c r="P16" s="102"/>
      <c r="Q16" s="102"/>
      <c r="R16" s="102"/>
      <c r="S16" s="102"/>
      <c r="T16" s="102"/>
    </row>
    <row r="17" spans="2:20" x14ac:dyDescent="0.25">
      <c r="B17" s="380"/>
      <c r="C17" s="375"/>
      <c r="D17" s="375"/>
      <c r="E17" s="375"/>
      <c r="F17" s="375"/>
      <c r="G17" s="375"/>
      <c r="H17" s="375"/>
      <c r="I17" s="375"/>
      <c r="J17" s="375"/>
      <c r="K17" s="375"/>
      <c r="L17" s="375"/>
      <c r="M17" s="375"/>
      <c r="N17" s="375"/>
      <c r="O17" s="376"/>
      <c r="P17" s="102"/>
      <c r="Q17" s="102"/>
      <c r="R17" s="102"/>
      <c r="S17" s="102"/>
      <c r="T17" s="102"/>
    </row>
    <row r="18" spans="2:20" x14ac:dyDescent="0.25">
      <c r="B18" s="380"/>
      <c r="C18" s="375"/>
      <c r="D18" s="375"/>
      <c r="E18" s="375"/>
      <c r="F18" s="375"/>
      <c r="G18" s="375"/>
      <c r="H18" s="375"/>
      <c r="I18" s="375"/>
      <c r="J18" s="375"/>
      <c r="K18" s="375"/>
      <c r="L18" s="375"/>
      <c r="M18" s="375"/>
      <c r="N18" s="375"/>
      <c r="O18" s="376"/>
      <c r="P18" s="102"/>
      <c r="Q18" s="102"/>
      <c r="R18" s="102"/>
      <c r="S18" s="102"/>
      <c r="T18" s="102"/>
    </row>
    <row r="19" spans="2:20" x14ac:dyDescent="0.25">
      <c r="B19" s="380"/>
      <c r="C19" s="375"/>
      <c r="D19" s="375"/>
      <c r="E19" s="375"/>
      <c r="F19" s="375"/>
      <c r="G19" s="375"/>
      <c r="H19" s="375"/>
      <c r="I19" s="375"/>
      <c r="J19" s="375"/>
      <c r="K19" s="375"/>
      <c r="L19" s="375"/>
      <c r="M19" s="375"/>
      <c r="N19" s="375"/>
      <c r="O19" s="376"/>
      <c r="P19" s="102"/>
      <c r="Q19" s="102"/>
      <c r="R19" s="102"/>
      <c r="S19" s="102"/>
      <c r="T19" s="102"/>
    </row>
    <row r="20" spans="2:20" x14ac:dyDescent="0.25">
      <c r="B20" s="380"/>
      <c r="C20" s="375"/>
      <c r="D20" s="375"/>
      <c r="E20" s="375"/>
      <c r="F20" s="375"/>
      <c r="G20" s="375"/>
      <c r="H20" s="375"/>
      <c r="I20" s="375"/>
      <c r="J20" s="375"/>
      <c r="K20" s="375"/>
      <c r="L20" s="375"/>
      <c r="M20" s="375"/>
      <c r="N20" s="375"/>
      <c r="O20" s="376"/>
      <c r="P20" s="102"/>
      <c r="Q20" s="102"/>
      <c r="R20" s="102"/>
      <c r="S20" s="102"/>
      <c r="T20" s="102"/>
    </row>
    <row r="21" spans="2:20" ht="15.75" thickBot="1" x14ac:dyDescent="0.3">
      <c r="B21" s="381"/>
      <c r="C21" s="377"/>
      <c r="D21" s="377"/>
      <c r="E21" s="377"/>
      <c r="F21" s="377"/>
      <c r="G21" s="377"/>
      <c r="H21" s="377"/>
      <c r="I21" s="377"/>
      <c r="J21" s="377"/>
      <c r="K21" s="377"/>
      <c r="L21" s="377"/>
      <c r="M21" s="377"/>
      <c r="N21" s="377"/>
      <c r="O21" s="378"/>
      <c r="P21" s="102"/>
      <c r="Q21" s="102"/>
      <c r="R21" s="102"/>
      <c r="S21" s="102"/>
      <c r="T21" s="102"/>
    </row>
    <row r="22" spans="2:20" ht="15.75" thickBot="1" x14ac:dyDescent="0.3">
      <c r="C22" s="102"/>
      <c r="D22" s="102"/>
      <c r="E22" s="102"/>
      <c r="F22" s="102"/>
      <c r="G22" s="102"/>
      <c r="H22" s="102"/>
      <c r="I22" s="102"/>
      <c r="J22" s="102"/>
      <c r="K22" s="102"/>
      <c r="L22" s="102"/>
      <c r="M22" s="102"/>
      <c r="N22" s="102"/>
      <c r="O22" s="102"/>
      <c r="P22" s="102"/>
      <c r="Q22" s="102"/>
      <c r="R22" s="102"/>
      <c r="S22" s="102"/>
      <c r="T22" s="102"/>
    </row>
    <row r="23" spans="2:20" x14ac:dyDescent="0.25">
      <c r="B23" s="370" t="s">
        <v>321</v>
      </c>
      <c r="C23" s="155"/>
      <c r="D23" s="114"/>
      <c r="E23" s="114"/>
      <c r="F23" s="114"/>
      <c r="G23" s="105"/>
      <c r="H23" s="105"/>
      <c r="I23" s="105"/>
      <c r="J23" s="105"/>
      <c r="K23" s="105"/>
      <c r="L23" s="114"/>
      <c r="M23" s="114"/>
      <c r="N23" s="106"/>
      <c r="O23" s="102"/>
      <c r="P23" s="102"/>
      <c r="Q23" s="102"/>
      <c r="R23" s="102"/>
      <c r="S23" s="102"/>
      <c r="T23" s="102"/>
    </row>
    <row r="24" spans="2:20" x14ac:dyDescent="0.25">
      <c r="B24" s="371"/>
      <c r="C24" s="156"/>
      <c r="D24" s="382" t="s">
        <v>322</v>
      </c>
      <c r="E24" s="383"/>
      <c r="F24" s="384" t="s">
        <v>328</v>
      </c>
      <c r="G24" s="385"/>
      <c r="H24" s="385"/>
      <c r="I24" s="385"/>
      <c r="J24" s="385"/>
      <c r="K24" s="385"/>
      <c r="L24" s="385"/>
      <c r="M24" s="386"/>
      <c r="N24" s="109"/>
      <c r="O24" s="102"/>
      <c r="P24" s="102"/>
      <c r="Q24" s="102"/>
      <c r="R24" s="102"/>
      <c r="S24" s="102"/>
      <c r="T24" s="102"/>
    </row>
    <row r="25" spans="2:20" x14ac:dyDescent="0.25">
      <c r="B25" s="371"/>
      <c r="C25" s="156"/>
      <c r="D25" s="115" t="s">
        <v>338</v>
      </c>
      <c r="E25" s="118"/>
      <c r="F25" s="117" t="s">
        <v>339</v>
      </c>
      <c r="G25" s="118"/>
      <c r="H25" s="119"/>
      <c r="I25" s="119"/>
      <c r="J25" s="119"/>
      <c r="K25" s="119"/>
      <c r="L25" s="118"/>
      <c r="M25" s="116"/>
      <c r="N25" s="109"/>
      <c r="O25" s="102"/>
      <c r="P25" s="102"/>
      <c r="Q25"/>
      <c r="R25"/>
      <c r="S25"/>
      <c r="T25" s="102"/>
    </row>
    <row r="26" spans="2:20" x14ac:dyDescent="0.25">
      <c r="B26" s="371"/>
      <c r="C26" s="157"/>
      <c r="D26" s="121" t="s">
        <v>323</v>
      </c>
      <c r="E26" s="120"/>
      <c r="F26" s="123" t="s">
        <v>480</v>
      </c>
      <c r="G26" s="120"/>
      <c r="H26" s="120"/>
      <c r="I26" s="120"/>
      <c r="J26" s="120"/>
      <c r="K26" s="120"/>
      <c r="L26" s="120"/>
      <c r="M26" s="122"/>
      <c r="N26" s="124"/>
      <c r="Q26"/>
      <c r="R26"/>
      <c r="S26"/>
    </row>
    <row r="27" spans="2:20" x14ac:dyDescent="0.25">
      <c r="B27" s="371"/>
      <c r="C27" s="157"/>
      <c r="D27" s="121" t="s">
        <v>324</v>
      </c>
      <c r="E27" s="120"/>
      <c r="F27" s="123" t="s">
        <v>340</v>
      </c>
      <c r="G27" s="120"/>
      <c r="H27" s="120"/>
      <c r="I27" s="120"/>
      <c r="J27" s="120"/>
      <c r="K27" s="120"/>
      <c r="L27" s="120"/>
      <c r="M27" s="122"/>
      <c r="N27" s="124"/>
      <c r="Q27"/>
      <c r="R27"/>
      <c r="S27"/>
    </row>
    <row r="28" spans="2:20" x14ac:dyDescent="0.25">
      <c r="B28" s="371"/>
      <c r="C28" s="157"/>
      <c r="D28" s="121" t="s">
        <v>325</v>
      </c>
      <c r="E28" s="120"/>
      <c r="F28" s="123" t="s">
        <v>341</v>
      </c>
      <c r="G28" s="120"/>
      <c r="H28" s="120"/>
      <c r="I28" s="120"/>
      <c r="J28" s="120"/>
      <c r="K28" s="120"/>
      <c r="L28" s="120"/>
      <c r="M28" s="122"/>
      <c r="N28" s="124"/>
      <c r="Q28"/>
      <c r="R28"/>
      <c r="S28"/>
    </row>
    <row r="29" spans="2:20" x14ac:dyDescent="0.25">
      <c r="B29" s="371"/>
      <c r="C29" s="157"/>
      <c r="D29" s="121" t="s">
        <v>326</v>
      </c>
      <c r="E29" s="120"/>
      <c r="F29" s="123" t="s">
        <v>342</v>
      </c>
      <c r="G29" s="120"/>
      <c r="H29" s="120"/>
      <c r="I29" s="120"/>
      <c r="J29" s="120"/>
      <c r="K29" s="120"/>
      <c r="L29" s="120"/>
      <c r="M29" s="122"/>
      <c r="N29" s="124"/>
      <c r="Q29"/>
      <c r="R29"/>
      <c r="S29"/>
    </row>
    <row r="30" spans="2:20" x14ac:dyDescent="0.25">
      <c r="B30" s="371"/>
      <c r="C30" s="157"/>
      <c r="D30" s="121" t="s">
        <v>327</v>
      </c>
      <c r="E30" s="120"/>
      <c r="F30" s="123" t="s">
        <v>343</v>
      </c>
      <c r="G30" s="120"/>
      <c r="H30" s="120"/>
      <c r="I30" s="120"/>
      <c r="J30" s="120"/>
      <c r="K30" s="120"/>
      <c r="L30" s="120"/>
      <c r="M30" s="122"/>
      <c r="N30" s="124"/>
    </row>
    <row r="31" spans="2:20" x14ac:dyDescent="0.25">
      <c r="B31" s="371"/>
      <c r="C31" s="157"/>
      <c r="D31" s="125" t="s">
        <v>336</v>
      </c>
      <c r="E31" s="128"/>
      <c r="F31" s="127" t="s">
        <v>335</v>
      </c>
      <c r="G31" s="128"/>
      <c r="H31" s="128"/>
      <c r="I31" s="128"/>
      <c r="J31" s="128"/>
      <c r="K31" s="128"/>
      <c r="L31" s="128"/>
      <c r="M31" s="126"/>
      <c r="N31" s="124"/>
    </row>
    <row r="32" spans="2:20" ht="15.75" thickBot="1" x14ac:dyDescent="0.3">
      <c r="B32" s="372"/>
      <c r="C32" s="158"/>
      <c r="D32" s="129"/>
      <c r="E32" s="129"/>
      <c r="F32" s="129"/>
      <c r="G32" s="129"/>
      <c r="H32" s="129"/>
      <c r="I32" s="129"/>
      <c r="J32" s="129"/>
      <c r="K32" s="129"/>
      <c r="L32" s="129"/>
      <c r="M32" s="129"/>
      <c r="N32" s="130"/>
    </row>
    <row r="33" spans="2:14" ht="15.75" thickBot="1" x14ac:dyDescent="0.3">
      <c r="B33" s="139"/>
      <c r="C33" s="120"/>
      <c r="D33" s="120"/>
      <c r="E33" s="120"/>
      <c r="F33" s="120"/>
      <c r="G33" s="120"/>
      <c r="H33" s="120"/>
      <c r="I33" s="120"/>
      <c r="J33" s="120"/>
      <c r="K33" s="120"/>
      <c r="L33" s="120"/>
    </row>
    <row r="34" spans="2:14" x14ac:dyDescent="0.25">
      <c r="B34" s="370" t="s">
        <v>11</v>
      </c>
      <c r="C34" s="103"/>
      <c r="D34" s="104"/>
      <c r="E34" s="105"/>
      <c r="F34" s="105"/>
      <c r="G34" s="105"/>
      <c r="H34" s="105"/>
      <c r="I34" s="106"/>
      <c r="J34" s="120"/>
      <c r="K34" s="120"/>
      <c r="L34" s="120"/>
    </row>
    <row r="35" spans="2:14" x14ac:dyDescent="0.25">
      <c r="B35" s="371"/>
      <c r="D35" s="176">
        <v>123</v>
      </c>
      <c r="E35" s="107" t="s">
        <v>1</v>
      </c>
      <c r="F35" s="108"/>
      <c r="G35" s="108"/>
      <c r="H35" s="108"/>
      <c r="I35" s="109"/>
      <c r="J35" s="120"/>
      <c r="K35" s="120"/>
      <c r="L35" s="120"/>
    </row>
    <row r="36" spans="2:14" x14ac:dyDescent="0.25">
      <c r="B36" s="371"/>
      <c r="D36" s="177">
        <v>123</v>
      </c>
      <c r="E36" s="107" t="s">
        <v>2</v>
      </c>
      <c r="F36" s="108"/>
      <c r="G36" s="108"/>
      <c r="H36" s="108"/>
      <c r="I36" s="109"/>
      <c r="J36" s="120"/>
      <c r="K36" s="120"/>
      <c r="L36" s="120"/>
    </row>
    <row r="37" spans="2:14" x14ac:dyDescent="0.25">
      <c r="B37" s="371"/>
      <c r="D37" s="178">
        <v>123</v>
      </c>
      <c r="E37" s="107" t="s">
        <v>3</v>
      </c>
      <c r="F37" s="108"/>
      <c r="G37" s="108"/>
      <c r="H37" s="108"/>
      <c r="I37" s="109"/>
      <c r="J37" s="120"/>
      <c r="K37" s="120"/>
      <c r="L37" s="120"/>
    </row>
    <row r="38" spans="2:14" x14ac:dyDescent="0.25">
      <c r="B38" s="371"/>
      <c r="D38" s="227">
        <v>123</v>
      </c>
      <c r="E38" s="107" t="s">
        <v>391</v>
      </c>
      <c r="F38" s="108"/>
      <c r="G38" s="108"/>
      <c r="H38" s="108"/>
      <c r="I38" s="109"/>
      <c r="J38" s="120"/>
      <c r="K38" s="120"/>
      <c r="L38" s="120"/>
    </row>
    <row r="39" spans="2:14" ht="15.75" thickBot="1" x14ac:dyDescent="0.3">
      <c r="B39" s="372"/>
      <c r="C39" s="111"/>
      <c r="D39" s="111"/>
      <c r="E39" s="112"/>
      <c r="F39" s="112"/>
      <c r="G39" s="112"/>
      <c r="H39" s="112"/>
      <c r="I39" s="113"/>
      <c r="J39" s="120"/>
      <c r="K39" s="120"/>
      <c r="L39" s="120"/>
    </row>
    <row r="40" spans="2:14" ht="15.75" thickBot="1" x14ac:dyDescent="0.3"/>
    <row r="41" spans="2:14" x14ac:dyDescent="0.25">
      <c r="B41" s="370" t="s">
        <v>329</v>
      </c>
      <c r="C41" s="105"/>
      <c r="D41" s="114"/>
      <c r="E41" s="114"/>
      <c r="F41" s="114"/>
      <c r="G41" s="105"/>
      <c r="H41" s="105"/>
      <c r="I41" s="105"/>
      <c r="J41" s="105"/>
      <c r="K41" s="105"/>
      <c r="L41" s="105"/>
      <c r="M41" s="105"/>
      <c r="N41" s="106"/>
    </row>
    <row r="42" spans="2:14" x14ac:dyDescent="0.25">
      <c r="B42" s="371"/>
      <c r="C42" s="108"/>
      <c r="D42" s="131" t="s">
        <v>331</v>
      </c>
      <c r="E42" s="132"/>
      <c r="F42" s="214" t="str">
        <f>"v"&amp;D53</f>
        <v>v1.3</v>
      </c>
      <c r="N42" s="109"/>
    </row>
    <row r="43" spans="2:14" x14ac:dyDescent="0.25">
      <c r="B43" s="371"/>
      <c r="C43" s="108"/>
      <c r="N43" s="109"/>
    </row>
    <row r="44" spans="2:14" x14ac:dyDescent="0.25">
      <c r="B44" s="371"/>
      <c r="C44" s="120"/>
      <c r="D44" s="133" t="s">
        <v>330</v>
      </c>
      <c r="E44" s="134" t="s">
        <v>332</v>
      </c>
      <c r="F44" s="135" t="s">
        <v>333</v>
      </c>
      <c r="G44" s="136"/>
      <c r="H44" s="136"/>
      <c r="I44" s="136"/>
      <c r="J44" s="136"/>
      <c r="K44" s="136"/>
      <c r="L44" s="136"/>
      <c r="M44" s="132"/>
      <c r="N44" s="124"/>
    </row>
    <row r="45" spans="2:14" x14ac:dyDescent="0.25">
      <c r="B45" s="371"/>
      <c r="C45" s="120"/>
      <c r="D45" s="175">
        <v>1</v>
      </c>
      <c r="E45" s="137">
        <v>43948</v>
      </c>
      <c r="F45" s="138" t="s">
        <v>334</v>
      </c>
      <c r="G45" s="118"/>
      <c r="H45" s="118"/>
      <c r="I45" s="118"/>
      <c r="J45" s="118"/>
      <c r="K45" s="118"/>
      <c r="L45" s="118"/>
      <c r="M45" s="116"/>
      <c r="N45" s="124"/>
    </row>
    <row r="46" spans="2:14" x14ac:dyDescent="0.25">
      <c r="B46" s="371"/>
      <c r="C46" s="120"/>
      <c r="D46" s="220">
        <v>1.1000000000000001</v>
      </c>
      <c r="E46" s="221">
        <v>43991</v>
      </c>
      <c r="F46" s="120" t="s">
        <v>390</v>
      </c>
      <c r="G46" s="120"/>
      <c r="H46" s="120"/>
      <c r="I46" s="120"/>
      <c r="J46" s="120"/>
      <c r="K46" s="120"/>
      <c r="L46" s="120"/>
      <c r="M46" s="122"/>
      <c r="N46" s="124"/>
    </row>
    <row r="47" spans="2:14" ht="15" customHeight="1" x14ac:dyDescent="0.25">
      <c r="B47" s="371"/>
      <c r="C47" s="120"/>
      <c r="D47" s="220">
        <v>1.2</v>
      </c>
      <c r="E47" s="221">
        <v>44246</v>
      </c>
      <c r="F47" s="375" t="s">
        <v>485</v>
      </c>
      <c r="G47" s="375"/>
      <c r="H47" s="375"/>
      <c r="I47" s="375"/>
      <c r="J47" s="375"/>
      <c r="K47" s="375"/>
      <c r="L47" s="375"/>
      <c r="M47" s="387"/>
      <c r="N47" s="124"/>
    </row>
    <row r="48" spans="2:14" x14ac:dyDescent="0.25">
      <c r="B48" s="371"/>
      <c r="C48" s="120"/>
      <c r="D48" s="220"/>
      <c r="E48" s="222"/>
      <c r="F48" s="375"/>
      <c r="G48" s="375"/>
      <c r="H48" s="375"/>
      <c r="I48" s="375"/>
      <c r="J48" s="375"/>
      <c r="K48" s="375"/>
      <c r="L48" s="375"/>
      <c r="M48" s="387"/>
      <c r="N48" s="124"/>
    </row>
    <row r="49" spans="2:14" x14ac:dyDescent="0.25">
      <c r="B49" s="371"/>
      <c r="C49" s="120"/>
      <c r="D49" s="220"/>
      <c r="E49" s="222"/>
      <c r="F49" s="375"/>
      <c r="G49" s="375"/>
      <c r="H49" s="375"/>
      <c r="I49" s="375"/>
      <c r="J49" s="375"/>
      <c r="K49" s="375"/>
      <c r="L49" s="375"/>
      <c r="M49" s="387"/>
      <c r="N49" s="124"/>
    </row>
    <row r="50" spans="2:14" x14ac:dyDescent="0.25">
      <c r="B50" s="371"/>
      <c r="C50" s="120"/>
      <c r="D50" s="220"/>
      <c r="E50" s="222"/>
      <c r="F50" s="375"/>
      <c r="G50" s="375"/>
      <c r="H50" s="375"/>
      <c r="I50" s="375"/>
      <c r="J50" s="375"/>
      <c r="K50" s="375"/>
      <c r="L50" s="375"/>
      <c r="M50" s="387"/>
      <c r="N50" s="124"/>
    </row>
    <row r="51" spans="2:14" x14ac:dyDescent="0.25">
      <c r="B51" s="371"/>
      <c r="C51" s="120"/>
      <c r="D51" s="220" t="s">
        <v>492</v>
      </c>
      <c r="E51" s="221">
        <v>44252</v>
      </c>
      <c r="F51" s="375" t="s">
        <v>493</v>
      </c>
      <c r="G51" s="375"/>
      <c r="H51" s="375"/>
      <c r="I51" s="375"/>
      <c r="J51" s="375"/>
      <c r="K51" s="375"/>
      <c r="L51" s="375"/>
      <c r="M51" s="387"/>
      <c r="N51" s="124"/>
    </row>
    <row r="52" spans="2:14" x14ac:dyDescent="0.25">
      <c r="B52" s="371"/>
      <c r="C52" s="120"/>
      <c r="D52" s="220"/>
      <c r="E52" s="221"/>
      <c r="F52" s="375"/>
      <c r="G52" s="375"/>
      <c r="H52" s="375"/>
      <c r="I52" s="375"/>
      <c r="J52" s="375"/>
      <c r="K52" s="375"/>
      <c r="L52" s="375"/>
      <c r="M52" s="387"/>
      <c r="N52" s="124"/>
    </row>
    <row r="53" spans="2:14" x14ac:dyDescent="0.25">
      <c r="B53" s="371"/>
      <c r="C53" s="120"/>
      <c r="D53" s="220">
        <v>1.3</v>
      </c>
      <c r="E53" s="221">
        <v>44287</v>
      </c>
      <c r="F53" s="375" t="s">
        <v>494</v>
      </c>
      <c r="G53" s="375"/>
      <c r="H53" s="375"/>
      <c r="I53" s="375"/>
      <c r="J53" s="375"/>
      <c r="K53" s="375"/>
      <c r="L53" s="375"/>
      <c r="M53" s="387"/>
      <c r="N53" s="124"/>
    </row>
    <row r="54" spans="2:14" x14ac:dyDescent="0.25">
      <c r="B54" s="371"/>
      <c r="C54" s="120"/>
      <c r="D54" s="223"/>
      <c r="E54" s="369"/>
      <c r="F54" s="388"/>
      <c r="G54" s="388"/>
      <c r="H54" s="388"/>
      <c r="I54" s="388"/>
      <c r="J54" s="388"/>
      <c r="K54" s="388"/>
      <c r="L54" s="388"/>
      <c r="M54" s="389"/>
      <c r="N54" s="124"/>
    </row>
    <row r="55" spans="2:14" ht="15.75" thickBot="1" x14ac:dyDescent="0.3">
      <c r="B55" s="372"/>
      <c r="C55" s="129"/>
      <c r="D55" s="129"/>
      <c r="E55" s="129"/>
      <c r="F55" s="129"/>
      <c r="G55" s="129"/>
      <c r="H55" s="129"/>
      <c r="I55" s="129"/>
      <c r="J55" s="129"/>
      <c r="K55" s="129"/>
      <c r="L55" s="129"/>
      <c r="M55" s="129"/>
      <c r="N55" s="130"/>
    </row>
  </sheetData>
  <sheetProtection sheet="1" selectLockedCells="1"/>
  <mergeCells count="10">
    <mergeCell ref="B23:B32"/>
    <mergeCell ref="B34:B39"/>
    <mergeCell ref="B41:B55"/>
    <mergeCell ref="C2:O21"/>
    <mergeCell ref="B2:B21"/>
    <mergeCell ref="D24:E24"/>
    <mergeCell ref="F24:M24"/>
    <mergeCell ref="F47:M50"/>
    <mergeCell ref="F53:M54"/>
    <mergeCell ref="F51:M52"/>
  </mergeCells>
  <pageMargins left="0.4" right="0.4" top="0.4" bottom="0.4" header="0.3" footer="0.3"/>
  <pageSetup scale="60" orientation="portrait" horizontalDpi="1200" verticalDpi="1200" r:id="rId1"/>
  <headerFooter>
    <oddFooter>&amp;C&amp;A&amp;Rv1.3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27F38-E051-4A60-98FC-FFA4BFD01855}">
  <sheetPr codeName="Sheet5">
    <tabColor theme="4" tint="0.59999389629810485"/>
  </sheetPr>
  <dimension ref="A1:G55"/>
  <sheetViews>
    <sheetView showGridLines="0" zoomScaleNormal="100" workbookViewId="0">
      <selection activeCell="E3" sqref="E3:F3"/>
    </sheetView>
  </sheetViews>
  <sheetFormatPr defaultRowHeight="15" x14ac:dyDescent="0.25"/>
  <cols>
    <col min="1" max="1" width="6.28515625" customWidth="1"/>
    <col min="2" max="2" width="23.28515625" bestFit="1" customWidth="1"/>
    <col min="3" max="3" width="6.28515625" customWidth="1"/>
    <col min="4" max="4" width="21.5703125" bestFit="1" customWidth="1"/>
    <col min="5" max="5" width="29.5703125" customWidth="1"/>
    <col min="6" max="6" width="32.7109375" customWidth="1"/>
    <col min="7" max="7" width="6.28515625" customWidth="1"/>
  </cols>
  <sheetData>
    <row r="1" spans="1:7" ht="15.75" thickBot="1" x14ac:dyDescent="0.3">
      <c r="A1" s="1" t="s">
        <v>483</v>
      </c>
    </row>
    <row r="2" spans="1:7" x14ac:dyDescent="0.25">
      <c r="B2" s="392" t="s">
        <v>351</v>
      </c>
      <c r="C2" s="159"/>
      <c r="D2" s="160"/>
      <c r="E2" s="160"/>
      <c r="F2" s="160"/>
      <c r="G2" s="161"/>
    </row>
    <row r="3" spans="1:7" x14ac:dyDescent="0.25">
      <c r="B3" s="393"/>
      <c r="C3" s="162"/>
      <c r="D3" s="174" t="s">
        <v>346</v>
      </c>
      <c r="E3" s="398"/>
      <c r="F3" s="399"/>
      <c r="G3" s="163"/>
    </row>
    <row r="4" spans="1:7" x14ac:dyDescent="0.25">
      <c r="B4" s="393"/>
      <c r="C4" s="162"/>
      <c r="D4" s="174" t="s">
        <v>347</v>
      </c>
      <c r="E4" s="398"/>
      <c r="F4" s="399"/>
      <c r="G4" s="163"/>
    </row>
    <row r="5" spans="1:7" x14ac:dyDescent="0.25">
      <c r="B5" s="393"/>
      <c r="C5" s="162"/>
      <c r="D5" s="174" t="s">
        <v>348</v>
      </c>
      <c r="E5" s="398"/>
      <c r="F5" s="399"/>
      <c r="G5" s="163"/>
    </row>
    <row r="6" spans="1:7" x14ac:dyDescent="0.25">
      <c r="B6" s="393"/>
      <c r="C6" s="162"/>
      <c r="D6" s="174" t="s">
        <v>349</v>
      </c>
      <c r="E6" s="400"/>
      <c r="F6" s="401"/>
      <c r="G6" s="163"/>
    </row>
    <row r="7" spans="1:7" x14ac:dyDescent="0.25">
      <c r="B7" s="393"/>
      <c r="C7" s="162"/>
      <c r="D7" s="174" t="s">
        <v>350</v>
      </c>
      <c r="E7" s="400"/>
      <c r="F7" s="401"/>
      <c r="G7" s="163"/>
    </row>
    <row r="8" spans="1:7" ht="15.75" thickBot="1" x14ac:dyDescent="0.3">
      <c r="B8" s="394"/>
      <c r="C8" s="164"/>
      <c r="D8" s="165"/>
      <c r="E8" s="165"/>
      <c r="F8" s="165"/>
      <c r="G8" s="166"/>
    </row>
    <row r="9" spans="1:7" ht="15.75" thickBot="1" x14ac:dyDescent="0.3"/>
    <row r="10" spans="1:7" x14ac:dyDescent="0.25">
      <c r="B10" s="392" t="s">
        <v>352</v>
      </c>
      <c r="C10" s="160"/>
      <c r="D10" s="160"/>
      <c r="E10" s="160"/>
      <c r="F10" s="160"/>
      <c r="G10" s="161"/>
    </row>
    <row r="11" spans="1:7" x14ac:dyDescent="0.25">
      <c r="B11" s="393"/>
      <c r="C11" s="167"/>
      <c r="D11" s="174" t="s">
        <v>344</v>
      </c>
      <c r="E11" s="398"/>
      <c r="F11" s="399"/>
      <c r="G11" s="163"/>
    </row>
    <row r="12" spans="1:7" x14ac:dyDescent="0.25">
      <c r="B12" s="393"/>
      <c r="C12" s="167"/>
      <c r="D12" s="174" t="s">
        <v>345</v>
      </c>
      <c r="E12" s="398"/>
      <c r="F12" s="399"/>
      <c r="G12" s="163"/>
    </row>
    <row r="13" spans="1:7" ht="15.75" thickBot="1" x14ac:dyDescent="0.3">
      <c r="B13" s="394"/>
      <c r="C13" s="165"/>
      <c r="D13" s="165"/>
      <c r="E13" s="165"/>
      <c r="F13" s="165"/>
      <c r="G13" s="166"/>
    </row>
    <row r="14" spans="1:7" ht="15.75" thickBot="1" x14ac:dyDescent="0.3"/>
    <row r="15" spans="1:7" x14ac:dyDescent="0.25">
      <c r="B15" s="392" t="s">
        <v>323</v>
      </c>
      <c r="C15" s="160"/>
      <c r="D15" s="160"/>
      <c r="E15" s="160"/>
      <c r="F15" s="160"/>
      <c r="G15" s="161"/>
    </row>
    <row r="16" spans="1:7" x14ac:dyDescent="0.25">
      <c r="B16" s="393"/>
      <c r="C16" s="167"/>
      <c r="D16" s="396" t="s">
        <v>376</v>
      </c>
      <c r="E16" s="397"/>
      <c r="F16" s="178" t="str">
        <f>'1. HVAC Design Review'!P151</f>
        <v>No</v>
      </c>
      <c r="G16" s="163"/>
    </row>
    <row r="17" spans="2:7" ht="15.75" thickBot="1" x14ac:dyDescent="0.3">
      <c r="B17" s="394"/>
      <c r="C17" s="165"/>
      <c r="D17" s="168"/>
      <c r="E17" s="168"/>
      <c r="F17" s="169"/>
      <c r="G17" s="166"/>
    </row>
    <row r="18" spans="2:7" x14ac:dyDescent="0.25">
      <c r="B18" s="392" t="s">
        <v>324</v>
      </c>
      <c r="C18" s="160"/>
      <c r="D18" s="170"/>
      <c r="E18" s="170"/>
      <c r="F18" s="171"/>
      <c r="G18" s="161"/>
    </row>
    <row r="19" spans="2:7" x14ac:dyDescent="0.25">
      <c r="B19" s="393"/>
      <c r="C19" s="167"/>
      <c r="D19" s="391" t="s">
        <v>392</v>
      </c>
      <c r="E19" s="391"/>
      <c r="F19" s="224" t="str">
        <f>'2. Total Duct Leakage'!H12</f>
        <v>No</v>
      </c>
      <c r="G19" s="172"/>
    </row>
    <row r="20" spans="2:7" ht="30" customHeight="1" x14ac:dyDescent="0.25">
      <c r="B20" s="393"/>
      <c r="C20" s="167"/>
      <c r="D20" s="391" t="s">
        <v>381</v>
      </c>
      <c r="E20" s="391"/>
      <c r="F20" s="224" t="e">
        <f>'2. Total Duct Leakage'!H17</f>
        <v>#DIV/0!</v>
      </c>
      <c r="G20" s="172"/>
    </row>
    <row r="21" spans="2:7" x14ac:dyDescent="0.25">
      <c r="B21" s="393"/>
      <c r="C21" s="167"/>
      <c r="D21" s="390" t="s">
        <v>377</v>
      </c>
      <c r="E21" s="390"/>
      <c r="F21" s="224" t="str">
        <f>'2. Total Duct Leakage'!H13</f>
        <v>Rough-in</v>
      </c>
      <c r="G21" s="163"/>
    </row>
    <row r="22" spans="2:7" x14ac:dyDescent="0.25">
      <c r="B22" s="393"/>
      <c r="C22" s="167"/>
      <c r="D22" s="390" t="s">
        <v>353</v>
      </c>
      <c r="E22" s="390"/>
      <c r="F22" s="224">
        <f>'2. Total Duct Leakage'!H14</f>
        <v>0</v>
      </c>
      <c r="G22" s="163"/>
    </row>
    <row r="23" spans="2:7" x14ac:dyDescent="0.25">
      <c r="B23" s="393"/>
      <c r="C23" s="167"/>
      <c r="D23" s="390" t="s">
        <v>354</v>
      </c>
      <c r="E23" s="390"/>
      <c r="F23" s="215" t="str">
        <f>'2. Total Duct Leakage'!H19</f>
        <v>Grade III</v>
      </c>
      <c r="G23" s="163"/>
    </row>
    <row r="24" spans="2:7" ht="15.75" thickBot="1" x14ac:dyDescent="0.3">
      <c r="B24" s="394"/>
      <c r="C24" s="165"/>
      <c r="D24" s="168"/>
      <c r="E24" s="168"/>
      <c r="F24" s="169"/>
      <c r="G24" s="166"/>
    </row>
    <row r="25" spans="2:7" x14ac:dyDescent="0.25">
      <c r="B25" s="392" t="s">
        <v>325</v>
      </c>
      <c r="C25" s="160"/>
      <c r="D25" s="170"/>
      <c r="E25" s="170"/>
      <c r="F25" s="171"/>
      <c r="G25" s="161"/>
    </row>
    <row r="26" spans="2:7" x14ac:dyDescent="0.25">
      <c r="B26" s="393"/>
      <c r="C26" s="167"/>
      <c r="D26" s="391" t="s">
        <v>393</v>
      </c>
      <c r="E26" s="391"/>
      <c r="F26" s="224" t="str">
        <f>'3. Blower Fan Airflow'!H19</f>
        <v>No</v>
      </c>
      <c r="G26" s="172"/>
    </row>
    <row r="27" spans="2:7" x14ac:dyDescent="0.25">
      <c r="B27" s="393"/>
      <c r="C27" s="167"/>
      <c r="D27" s="390" t="s">
        <v>355</v>
      </c>
      <c r="E27" s="390"/>
      <c r="F27" s="215" t="str">
        <f>'3. Blower Fan Airflow'!H21</f>
        <v>Flow Hood</v>
      </c>
      <c r="G27" s="163"/>
    </row>
    <row r="28" spans="2:7" x14ac:dyDescent="0.25">
      <c r="B28" s="393"/>
      <c r="C28" s="167"/>
      <c r="D28" s="390" t="s">
        <v>356</v>
      </c>
      <c r="E28" s="390"/>
      <c r="F28" s="225">
        <f>'3. Blower Fan Airflow'!H12</f>
        <v>0</v>
      </c>
      <c r="G28" s="172"/>
    </row>
    <row r="29" spans="2:7" x14ac:dyDescent="0.25">
      <c r="B29" s="393"/>
      <c r="C29" s="167"/>
      <c r="D29" s="390" t="s">
        <v>357</v>
      </c>
      <c r="E29" s="390"/>
      <c r="F29" s="225" t="str">
        <f>'3. Blower Fan Airflow'!H72</f>
        <v>Prereq Not Met</v>
      </c>
      <c r="G29" s="172"/>
    </row>
    <row r="30" spans="2:7" x14ac:dyDescent="0.25">
      <c r="B30" s="393"/>
      <c r="C30" s="167"/>
      <c r="D30" s="390" t="s">
        <v>358</v>
      </c>
      <c r="E30" s="390"/>
      <c r="F30" s="215">
        <f>'3. Blower Fan Airflow'!H54</f>
        <v>0</v>
      </c>
      <c r="G30" s="163"/>
    </row>
    <row r="31" spans="2:7" x14ac:dyDescent="0.25">
      <c r="B31" s="393"/>
      <c r="C31" s="167"/>
      <c r="D31" s="390" t="s">
        <v>359</v>
      </c>
      <c r="E31" s="390"/>
      <c r="F31" s="216">
        <f>'3. Blower Fan Airflow'!H65</f>
        <v>0</v>
      </c>
      <c r="G31" s="173"/>
    </row>
    <row r="32" spans="2:7" x14ac:dyDescent="0.25">
      <c r="B32" s="393"/>
      <c r="C32" s="167"/>
      <c r="D32" s="390" t="s">
        <v>261</v>
      </c>
      <c r="E32" s="390"/>
      <c r="F32" s="215" t="str">
        <f>'3. Blower Fan Airflow'!H74</f>
        <v>Grade III</v>
      </c>
      <c r="G32" s="163"/>
    </row>
    <row r="33" spans="2:7" x14ac:dyDescent="0.25">
      <c r="B33" s="393"/>
      <c r="C33" s="167"/>
      <c r="D33" s="390" t="s">
        <v>360</v>
      </c>
      <c r="E33" s="390"/>
      <c r="F33" s="218" t="str">
        <f>'3. Blower Fan Airflow'!H73</f>
        <v>Prereq Not Met</v>
      </c>
      <c r="G33" s="163"/>
    </row>
    <row r="34" spans="2:7" ht="15.75" thickBot="1" x14ac:dyDescent="0.3">
      <c r="B34" s="394"/>
      <c r="C34" s="165"/>
      <c r="D34" s="168"/>
      <c r="E34" s="168"/>
      <c r="F34" s="169"/>
      <c r="G34" s="166"/>
    </row>
    <row r="35" spans="2:7" x14ac:dyDescent="0.25">
      <c r="B35" s="392" t="s">
        <v>326</v>
      </c>
      <c r="C35" s="160"/>
      <c r="D35" s="170"/>
      <c r="E35" s="170"/>
      <c r="F35" s="171"/>
      <c r="G35" s="161"/>
    </row>
    <row r="36" spans="2:7" x14ac:dyDescent="0.25">
      <c r="B36" s="393"/>
      <c r="C36" s="167"/>
      <c r="D36" s="390" t="s">
        <v>361</v>
      </c>
      <c r="E36" s="390"/>
      <c r="F36" s="215" t="str">
        <f>'4. Blower Fan Watt Draw'!H11</f>
        <v>Portable Plug-In Watt Meter</v>
      </c>
      <c r="G36" s="163"/>
    </row>
    <row r="37" spans="2:7" x14ac:dyDescent="0.25">
      <c r="B37" s="393"/>
      <c r="C37" s="167"/>
      <c r="D37" s="390" t="s">
        <v>362</v>
      </c>
      <c r="E37" s="390"/>
      <c r="F37" s="225" t="str">
        <f>'4. Blower Fan Watt Draw'!H31</f>
        <v>Prereq Not Met</v>
      </c>
      <c r="G37" s="172"/>
    </row>
    <row r="38" spans="2:7" x14ac:dyDescent="0.25">
      <c r="B38" s="393"/>
      <c r="C38" s="167"/>
      <c r="D38" s="390" t="s">
        <v>363</v>
      </c>
      <c r="E38" s="390"/>
      <c r="F38" s="216" t="str">
        <f>'4. Blower Fan Watt Draw'!H32</f>
        <v>Prereq Not Met</v>
      </c>
      <c r="G38" s="173"/>
    </row>
    <row r="39" spans="2:7" x14ac:dyDescent="0.25">
      <c r="B39" s="393"/>
      <c r="C39" s="167"/>
      <c r="D39" s="390" t="s">
        <v>265</v>
      </c>
      <c r="E39" s="390"/>
      <c r="F39" s="215" t="str">
        <f>'4. Blower Fan Watt Draw'!H33</f>
        <v>Grade III</v>
      </c>
      <c r="G39" s="163"/>
    </row>
    <row r="40" spans="2:7" ht="15.75" thickBot="1" x14ac:dyDescent="0.3">
      <c r="B40" s="394"/>
      <c r="C40" s="165"/>
      <c r="D40" s="168"/>
      <c r="E40" s="168"/>
      <c r="F40" s="169"/>
      <c r="G40" s="166"/>
    </row>
    <row r="41" spans="2:7" x14ac:dyDescent="0.25">
      <c r="B41" s="392" t="s">
        <v>327</v>
      </c>
      <c r="C41" s="160"/>
      <c r="D41" s="170"/>
      <c r="E41" s="170"/>
      <c r="F41" s="171"/>
      <c r="G41" s="161"/>
    </row>
    <row r="42" spans="2:7" x14ac:dyDescent="0.25">
      <c r="B42" s="393"/>
      <c r="C42" s="167"/>
      <c r="D42" s="390" t="s">
        <v>364</v>
      </c>
      <c r="E42" s="390"/>
      <c r="F42" s="224" t="str">
        <f>'5. Refrigerant Charge'!H11</f>
        <v>Weigh-In</v>
      </c>
      <c r="G42" s="163"/>
    </row>
    <row r="43" spans="2:7" x14ac:dyDescent="0.25">
      <c r="B43" s="393"/>
      <c r="C43" s="167"/>
      <c r="D43" s="390" t="s">
        <v>365</v>
      </c>
      <c r="E43" s="390"/>
      <c r="F43" s="224" t="str">
        <f>'5. Refrigerant Charge'!H20</f>
        <v>Piston/Cap. Tube</v>
      </c>
      <c r="G43" s="163"/>
    </row>
    <row r="44" spans="2:7" x14ac:dyDescent="0.25">
      <c r="B44" s="393"/>
      <c r="C44" s="167"/>
      <c r="D44" s="390" t="s">
        <v>366</v>
      </c>
      <c r="E44" s="390"/>
      <c r="F44" s="215">
        <f>'5. Refrigerant Charge'!H27</f>
        <v>0</v>
      </c>
      <c r="G44" s="163"/>
    </row>
    <row r="45" spans="2:7" x14ac:dyDescent="0.25">
      <c r="B45" s="393"/>
      <c r="C45" s="167"/>
      <c r="D45" s="390" t="s">
        <v>367</v>
      </c>
      <c r="E45" s="390"/>
      <c r="F45" s="215">
        <f>'5. Refrigerant Charge'!H29</f>
        <v>0</v>
      </c>
      <c r="G45" s="163"/>
    </row>
    <row r="46" spans="2:7" x14ac:dyDescent="0.25">
      <c r="B46" s="393"/>
      <c r="C46" s="167"/>
      <c r="D46" s="390" t="s">
        <v>368</v>
      </c>
      <c r="E46" s="390"/>
      <c r="F46" s="215">
        <f>'5. Refrigerant Charge'!H30</f>
        <v>0</v>
      </c>
      <c r="G46" s="163"/>
    </row>
    <row r="47" spans="2:7" x14ac:dyDescent="0.25">
      <c r="B47" s="393"/>
      <c r="C47" s="167"/>
      <c r="D47" s="390" t="s">
        <v>369</v>
      </c>
      <c r="E47" s="390"/>
      <c r="F47" s="215" t="str">
        <f>'5. Refrigerant Charge'!H51</f>
        <v>N/A</v>
      </c>
      <c r="G47" s="163"/>
    </row>
    <row r="48" spans="2:7" x14ac:dyDescent="0.25">
      <c r="B48" s="393"/>
      <c r="C48" s="167"/>
      <c r="D48" s="390" t="s">
        <v>370</v>
      </c>
      <c r="E48" s="390"/>
      <c r="F48" s="224" t="str">
        <f>'5. Refrigerant Charge'!H52</f>
        <v>N/A</v>
      </c>
      <c r="G48" s="163"/>
    </row>
    <row r="49" spans="2:7" x14ac:dyDescent="0.25">
      <c r="B49" s="393"/>
      <c r="C49" s="167"/>
      <c r="D49" s="390" t="s">
        <v>371</v>
      </c>
      <c r="E49" s="390"/>
      <c r="F49" s="215">
        <f>'5. Refrigerant Charge'!H59</f>
        <v>30</v>
      </c>
      <c r="G49" s="163"/>
    </row>
    <row r="50" spans="2:7" x14ac:dyDescent="0.25">
      <c r="B50" s="393"/>
      <c r="C50" s="167"/>
      <c r="D50" s="390" t="s">
        <v>372</v>
      </c>
      <c r="E50" s="390"/>
      <c r="F50" s="224">
        <f>'5. Refrigerant Charge'!H60</f>
        <v>30</v>
      </c>
      <c r="G50" s="163"/>
    </row>
    <row r="51" spans="2:7" x14ac:dyDescent="0.25">
      <c r="B51" s="393"/>
      <c r="C51" s="167"/>
      <c r="D51" s="390" t="s">
        <v>373</v>
      </c>
      <c r="E51" s="390"/>
      <c r="F51" s="215">
        <f>'5. Refrigerant Charge'!H79</f>
        <v>0</v>
      </c>
      <c r="G51" s="163"/>
    </row>
    <row r="52" spans="2:7" x14ac:dyDescent="0.25">
      <c r="B52" s="393"/>
      <c r="C52" s="167"/>
      <c r="D52" s="390" t="s">
        <v>374</v>
      </c>
      <c r="E52" s="390"/>
      <c r="F52" s="217">
        <f>'5. Refrigerant Charge'!H80</f>
        <v>0</v>
      </c>
      <c r="G52" s="163"/>
    </row>
    <row r="53" spans="2:7" ht="30" customHeight="1" x14ac:dyDescent="0.25">
      <c r="B53" s="393"/>
      <c r="C53" s="167"/>
      <c r="D53" s="395" t="s">
        <v>382</v>
      </c>
      <c r="E53" s="395"/>
      <c r="F53" s="226" t="str">
        <f>'5. Refrigerant Charge'!H81</f>
        <v>N/A</v>
      </c>
      <c r="G53" s="163"/>
    </row>
    <row r="54" spans="2:7" x14ac:dyDescent="0.25">
      <c r="B54" s="393"/>
      <c r="C54" s="167"/>
      <c r="D54" s="390" t="s">
        <v>375</v>
      </c>
      <c r="E54" s="390"/>
      <c r="F54" s="215" t="e">
        <f>IF('5. Refrigerant Charge'!H11="Weigh-In",'5. Refrigerant Charge'!H99,IF('5. Refrigerant Charge'!H20="Piston/Cap. Tube",'5. Refrigerant Charge'!H84,'5. Refrigerant Charge'!H90))</f>
        <v>#VALUE!</v>
      </c>
      <c r="G54" s="163"/>
    </row>
    <row r="55" spans="2:7" ht="15.75" thickBot="1" x14ac:dyDescent="0.3">
      <c r="B55" s="394"/>
      <c r="C55" s="165"/>
      <c r="D55" s="165"/>
      <c r="E55" s="165"/>
      <c r="F55" s="165"/>
      <c r="G55" s="166"/>
    </row>
  </sheetData>
  <sheetProtection sheet="1" selectLockedCells="1"/>
  <mergeCells count="45">
    <mergeCell ref="D19:E19"/>
    <mergeCell ref="D26:E26"/>
    <mergeCell ref="B2:B8"/>
    <mergeCell ref="B10:B13"/>
    <mergeCell ref="B15:B17"/>
    <mergeCell ref="D16:E16"/>
    <mergeCell ref="E12:F12"/>
    <mergeCell ref="E11:F11"/>
    <mergeCell ref="E7:F7"/>
    <mergeCell ref="E6:F6"/>
    <mergeCell ref="E5:F5"/>
    <mergeCell ref="E4:F4"/>
    <mergeCell ref="E3:F3"/>
    <mergeCell ref="B18:B24"/>
    <mergeCell ref="B25:B34"/>
    <mergeCell ref="D22:E22"/>
    <mergeCell ref="B35:B40"/>
    <mergeCell ref="B41:B55"/>
    <mergeCell ref="D28:E28"/>
    <mergeCell ref="D27:E27"/>
    <mergeCell ref="D23:E23"/>
    <mergeCell ref="D54:E54"/>
    <mergeCell ref="D53:E53"/>
    <mergeCell ref="D52:E52"/>
    <mergeCell ref="D51:E51"/>
    <mergeCell ref="D50:E50"/>
    <mergeCell ref="D49:E49"/>
    <mergeCell ref="D48:E48"/>
    <mergeCell ref="D47:E47"/>
    <mergeCell ref="D46:E46"/>
    <mergeCell ref="D45:E45"/>
    <mergeCell ref="D44:E44"/>
    <mergeCell ref="D43:E43"/>
    <mergeCell ref="D42:E42"/>
    <mergeCell ref="D21:E21"/>
    <mergeCell ref="D20:E20"/>
    <mergeCell ref="D39:E39"/>
    <mergeCell ref="D38:E38"/>
    <mergeCell ref="D37:E37"/>
    <mergeCell ref="D36:E36"/>
    <mergeCell ref="D33:E33"/>
    <mergeCell ref="D32:E32"/>
    <mergeCell ref="D31:E31"/>
    <mergeCell ref="D30:E30"/>
    <mergeCell ref="D29:E29"/>
  </mergeCells>
  <conditionalFormatting sqref="E3:F3">
    <cfRule type="containsBlanks" dxfId="245" priority="8">
      <formula>LEN(TRIM(E3))=0</formula>
    </cfRule>
  </conditionalFormatting>
  <conditionalFormatting sqref="E11:F12 E4:F7">
    <cfRule type="containsBlanks" dxfId="244" priority="7">
      <formula>LEN(TRIM(E4))=0</formula>
    </cfRule>
  </conditionalFormatting>
  <conditionalFormatting sqref="F16 F20:F23">
    <cfRule type="cellIs" dxfId="243" priority="6" operator="equal">
      <formula>"No"</formula>
    </cfRule>
  </conditionalFormatting>
  <conditionalFormatting sqref="F27:F33">
    <cfRule type="cellIs" dxfId="242" priority="4" operator="equal">
      <formula>"No"</formula>
    </cfRule>
  </conditionalFormatting>
  <conditionalFormatting sqref="F36:F39">
    <cfRule type="cellIs" dxfId="241" priority="3" operator="equal">
      <formula>"No"</formula>
    </cfRule>
  </conditionalFormatting>
  <conditionalFormatting sqref="F42:F54">
    <cfRule type="cellIs" dxfId="240" priority="2" operator="equal">
      <formula>"No"</formula>
    </cfRule>
  </conditionalFormatting>
  <pageMargins left="0.4" right="0.4" top="0.4" bottom="0.4" header="0.3" footer="0.3"/>
  <pageSetup scale="60" orientation="portrait" horizontalDpi="1200" verticalDpi="1200" r:id="rId1"/>
  <headerFooter>
    <oddFooter>&amp;C&amp;A&amp;Rv1.3</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AE159"/>
  <sheetViews>
    <sheetView showGridLines="0" zoomScale="85" zoomScaleNormal="85" workbookViewId="0">
      <selection activeCell="E10" sqref="E10:I10"/>
    </sheetView>
  </sheetViews>
  <sheetFormatPr defaultColWidth="9.28515625" defaultRowHeight="15.75" customHeight="1" x14ac:dyDescent="0.25"/>
  <cols>
    <col min="1" max="1" width="1.7109375" style="8" customWidth="1"/>
    <col min="2" max="2" width="3.7109375" style="8" customWidth="1"/>
    <col min="3" max="3" width="9.7109375" style="8" customWidth="1"/>
    <col min="4" max="4" width="1.5703125" style="8" customWidth="1"/>
    <col min="5" max="5" width="15.5703125" style="8" customWidth="1"/>
    <col min="6" max="6" width="50.7109375" style="8" customWidth="1"/>
    <col min="7" max="8" width="0.85546875" style="8" customWidth="1"/>
    <col min="9" max="10" width="10.7109375" style="8" customWidth="1"/>
    <col min="11" max="11" width="10.7109375" style="27" customWidth="1"/>
    <col min="12" max="13" width="0.7109375" style="27" customWidth="1"/>
    <col min="14" max="16" width="10.7109375" style="8" customWidth="1"/>
    <col min="17" max="17" width="0.85546875" style="8" customWidth="1"/>
    <col min="18" max="18" width="6.7109375" style="8" bestFit="1" customWidth="1"/>
    <col min="19" max="19" width="17.5703125" style="8" customWidth="1"/>
    <col min="20" max="20" width="2.28515625" style="8" customWidth="1"/>
    <col min="21" max="21" width="11" style="8" customWidth="1"/>
    <col min="22" max="22" width="46.42578125" style="8" customWidth="1"/>
    <col min="23" max="23" width="9.28515625" style="8" customWidth="1"/>
    <col min="24" max="16384" width="9.28515625" style="8"/>
  </cols>
  <sheetData>
    <row r="1" spans="1:28" ht="15.75" customHeight="1" x14ac:dyDescent="0.25">
      <c r="A1" s="315" t="s">
        <v>405</v>
      </c>
      <c r="L1" s="403"/>
      <c r="M1" s="228"/>
    </row>
    <row r="2" spans="1:28" x14ac:dyDescent="0.25">
      <c r="A2" s="315" t="s">
        <v>404</v>
      </c>
      <c r="L2" s="403"/>
      <c r="M2" s="228"/>
      <c r="T2" s="182"/>
      <c r="U2" s="183" t="s">
        <v>11</v>
      </c>
      <c r="V2" s="265"/>
      <c r="W2"/>
      <c r="X2"/>
      <c r="Y2"/>
      <c r="Z2"/>
      <c r="AA2"/>
      <c r="AB2"/>
    </row>
    <row r="3" spans="1:28" ht="14.65" customHeight="1" x14ac:dyDescent="0.25">
      <c r="A3" s="73"/>
      <c r="B3" s="404" t="s">
        <v>464</v>
      </c>
      <c r="C3" s="404"/>
      <c r="D3" s="404"/>
      <c r="E3" s="404"/>
      <c r="F3" s="404"/>
      <c r="G3" s="404"/>
      <c r="H3" s="404"/>
      <c r="I3" s="404"/>
      <c r="J3" s="404"/>
      <c r="K3" s="404"/>
      <c r="L3" s="404"/>
      <c r="M3" s="404"/>
      <c r="N3" s="404"/>
      <c r="O3" s="404"/>
      <c r="P3" s="404"/>
      <c r="Q3" s="404"/>
      <c r="T3" s="185"/>
      <c r="U3" s="179">
        <v>123</v>
      </c>
      <c r="V3" s="266" t="s">
        <v>1</v>
      </c>
      <c r="W3"/>
      <c r="X3"/>
      <c r="Y3"/>
      <c r="Z3"/>
      <c r="AA3"/>
      <c r="AB3"/>
    </row>
    <row r="4" spans="1:28" ht="15" x14ac:dyDescent="0.25">
      <c r="A4" s="73"/>
      <c r="B4" s="404"/>
      <c r="C4" s="404"/>
      <c r="D4" s="404"/>
      <c r="E4" s="404"/>
      <c r="F4" s="404"/>
      <c r="G4" s="404"/>
      <c r="H4" s="404"/>
      <c r="I4" s="404"/>
      <c r="J4" s="404"/>
      <c r="K4" s="404"/>
      <c r="L4" s="404"/>
      <c r="M4" s="404"/>
      <c r="N4" s="404"/>
      <c r="O4" s="404"/>
      <c r="P4" s="404"/>
      <c r="Q4" s="404"/>
      <c r="T4" s="185"/>
      <c r="U4" s="357"/>
      <c r="V4" s="266" t="s">
        <v>489</v>
      </c>
      <c r="W4"/>
      <c r="X4"/>
      <c r="Y4"/>
      <c r="Z4"/>
      <c r="AA4"/>
      <c r="AB4"/>
    </row>
    <row r="5" spans="1:28" ht="18.75" customHeight="1" x14ac:dyDescent="0.25">
      <c r="A5" s="73"/>
      <c r="B5" s="404"/>
      <c r="C5" s="404"/>
      <c r="D5" s="404"/>
      <c r="E5" s="404"/>
      <c r="F5" s="404"/>
      <c r="G5" s="404"/>
      <c r="H5" s="404"/>
      <c r="I5" s="404"/>
      <c r="J5" s="404"/>
      <c r="K5" s="404"/>
      <c r="L5" s="404"/>
      <c r="M5" s="404"/>
      <c r="N5" s="404"/>
      <c r="O5" s="404"/>
      <c r="P5" s="404"/>
      <c r="Q5" s="404"/>
      <c r="T5" s="185"/>
      <c r="U5" s="358">
        <v>123</v>
      </c>
      <c r="V5" s="359" t="s">
        <v>2</v>
      </c>
      <c r="W5"/>
      <c r="X5"/>
      <c r="Y5"/>
      <c r="Z5"/>
      <c r="AA5"/>
      <c r="AB5"/>
    </row>
    <row r="6" spans="1:28" ht="15" customHeight="1" x14ac:dyDescent="0.25">
      <c r="A6" s="73"/>
      <c r="B6" s="404" t="s">
        <v>462</v>
      </c>
      <c r="C6" s="404"/>
      <c r="D6" s="404"/>
      <c r="E6" s="404"/>
      <c r="F6" s="404"/>
      <c r="G6" s="404"/>
      <c r="H6" s="404"/>
      <c r="I6" s="404"/>
      <c r="J6" s="404"/>
      <c r="K6" s="404"/>
      <c r="L6" s="404"/>
      <c r="M6" s="404"/>
      <c r="N6" s="404"/>
      <c r="O6" s="404"/>
      <c r="P6" s="404"/>
      <c r="Q6" s="404"/>
      <c r="T6" s="185"/>
      <c r="U6" s="181">
        <v>123</v>
      </c>
      <c r="V6" s="314" t="s">
        <v>3</v>
      </c>
      <c r="W6"/>
      <c r="X6"/>
      <c r="Y6"/>
      <c r="Z6"/>
      <c r="AA6"/>
      <c r="AB6"/>
    </row>
    <row r="7" spans="1:28" ht="15" x14ac:dyDescent="0.25">
      <c r="A7" s="73"/>
      <c r="B7" s="404"/>
      <c r="C7" s="404"/>
      <c r="D7" s="404"/>
      <c r="E7" s="404"/>
      <c r="F7" s="404"/>
      <c r="G7" s="404"/>
      <c r="H7" s="404"/>
      <c r="I7" s="404"/>
      <c r="J7" s="404"/>
      <c r="K7" s="404"/>
      <c r="L7" s="404"/>
      <c r="M7" s="404"/>
      <c r="N7" s="404"/>
      <c r="O7" s="404"/>
      <c r="P7" s="404"/>
      <c r="Q7" s="404"/>
      <c r="T7" s="187"/>
      <c r="U7" s="188"/>
      <c r="V7" s="267"/>
      <c r="W7"/>
      <c r="X7"/>
      <c r="Y7"/>
      <c r="Z7"/>
      <c r="AA7"/>
      <c r="AB7"/>
    </row>
    <row r="8" spans="1:28" ht="15" x14ac:dyDescent="0.25">
      <c r="A8" s="73"/>
      <c r="B8" s="329" t="s">
        <v>465</v>
      </c>
      <c r="C8" s="329"/>
      <c r="D8" s="302"/>
      <c r="E8" s="302"/>
      <c r="F8" s="302"/>
      <c r="G8" s="302"/>
      <c r="H8" s="302"/>
      <c r="I8" s="302"/>
      <c r="J8" s="302"/>
      <c r="K8" s="302"/>
      <c r="L8" s="302"/>
      <c r="M8" s="302"/>
      <c r="N8" s="302"/>
      <c r="O8" s="302"/>
      <c r="P8" s="302"/>
      <c r="Q8" s="302"/>
      <c r="T8"/>
      <c r="U8"/>
      <c r="V8"/>
      <c r="W8"/>
      <c r="X8"/>
      <c r="Y8"/>
      <c r="Z8"/>
      <c r="AA8"/>
      <c r="AB8"/>
    </row>
    <row r="9" spans="1:28" ht="15.75" customHeight="1" thickBot="1" x14ac:dyDescent="0.3">
      <c r="A9" s="73"/>
      <c r="B9" s="229"/>
      <c r="C9" s="302"/>
      <c r="J9"/>
      <c r="N9"/>
      <c r="O9"/>
      <c r="P9"/>
      <c r="S9" s="264"/>
      <c r="T9"/>
      <c r="U9"/>
      <c r="V9"/>
      <c r="X9"/>
      <c r="Y9"/>
      <c r="Z9"/>
      <c r="AA9"/>
      <c r="AB9"/>
    </row>
    <row r="10" spans="1:28" customFormat="1" ht="15.75" customHeight="1" thickBot="1" x14ac:dyDescent="0.3">
      <c r="A10" s="316"/>
      <c r="B10" s="8" t="s">
        <v>303</v>
      </c>
      <c r="C10" s="8"/>
      <c r="D10" s="8"/>
      <c r="E10" s="407" t="s">
        <v>491</v>
      </c>
      <c r="F10" s="408"/>
      <c r="G10" s="408"/>
      <c r="H10" s="408"/>
      <c r="I10" s="409"/>
      <c r="L10" s="27"/>
      <c r="M10" s="27"/>
      <c r="N10" s="8"/>
      <c r="O10" s="8"/>
      <c r="S10" s="8"/>
      <c r="T10" s="8"/>
      <c r="U10" s="8"/>
      <c r="V10" s="8"/>
    </row>
    <row r="11" spans="1:28" customFormat="1" ht="15.75" customHeight="1" thickBot="1" x14ac:dyDescent="0.3">
      <c r="A11" s="73"/>
    </row>
    <row r="12" spans="1:28" customFormat="1" ht="15.75" customHeight="1" thickBot="1" x14ac:dyDescent="0.3">
      <c r="A12" s="346" t="s">
        <v>476</v>
      </c>
      <c r="B12" s="343"/>
      <c r="C12" s="343"/>
      <c r="D12" s="343"/>
      <c r="E12" s="343"/>
      <c r="F12" s="343"/>
      <c r="G12" s="343"/>
      <c r="H12" s="343"/>
      <c r="I12" s="343"/>
      <c r="J12" s="343"/>
      <c r="K12" s="343"/>
      <c r="L12" s="343"/>
      <c r="M12" s="343"/>
      <c r="N12" s="344" t="s">
        <v>461</v>
      </c>
      <c r="O12" s="343"/>
      <c r="P12" s="154" t="str">
        <f>IF($E$10="Dwelling or townhouse or unit within","Yes","No")</f>
        <v>Yes</v>
      </c>
      <c r="Q12" s="345"/>
      <c r="S12" s="264" t="s">
        <v>183</v>
      </c>
    </row>
    <row r="13" spans="1:28" customFormat="1" ht="15.75" customHeight="1" thickBot="1" x14ac:dyDescent="0.3">
      <c r="A13" s="351"/>
      <c r="B13" s="352"/>
      <c r="C13" s="352"/>
      <c r="D13" s="352"/>
      <c r="E13" s="352"/>
      <c r="F13" s="352"/>
      <c r="G13" s="352"/>
      <c r="H13" s="352"/>
      <c r="I13" s="352"/>
      <c r="J13" s="352"/>
      <c r="K13" s="352"/>
      <c r="L13" s="352"/>
      <c r="M13" s="352"/>
      <c r="N13" s="353"/>
      <c r="O13" s="355" t="s">
        <v>490</v>
      </c>
      <c r="P13" s="154" t="str">
        <f>IF(P12="No","N/A",IF(ISBLANK(I21)+ISBLANK(N22)+ISBLANK(I26)+ISBLANK(N27)&gt;0,"No","Yes"))</f>
        <v>No</v>
      </c>
      <c r="Q13" s="354"/>
      <c r="S13" s="264"/>
    </row>
    <row r="14" spans="1:28" customFormat="1" ht="15.75" customHeight="1" x14ac:dyDescent="0.25">
      <c r="A14" s="318"/>
      <c r="B14" s="16"/>
      <c r="C14" s="16"/>
      <c r="D14" s="16"/>
      <c r="G14" s="239"/>
      <c r="H14" s="307"/>
      <c r="I14" s="402" t="s">
        <v>394</v>
      </c>
      <c r="J14" s="402"/>
      <c r="K14" s="402"/>
      <c r="L14" s="272"/>
      <c r="M14" s="273"/>
      <c r="N14" s="402" t="s">
        <v>395</v>
      </c>
      <c r="O14" s="402"/>
      <c r="P14" s="402"/>
      <c r="Q14" s="274"/>
    </row>
    <row r="15" spans="1:28" customFormat="1" ht="15.75" customHeight="1" thickBot="1" x14ac:dyDescent="0.3">
      <c r="A15" s="318"/>
      <c r="B15" s="87" t="s">
        <v>408</v>
      </c>
      <c r="C15" s="87"/>
      <c r="D15" s="16"/>
      <c r="E15" s="239"/>
      <c r="G15" s="239"/>
      <c r="H15" s="312"/>
      <c r="I15" s="71"/>
      <c r="J15" s="71"/>
      <c r="K15" s="71"/>
      <c r="L15" s="230"/>
      <c r="M15" s="71"/>
      <c r="N15" s="71"/>
      <c r="O15" s="71"/>
      <c r="P15" s="71"/>
      <c r="Q15" s="253"/>
    </row>
    <row r="16" spans="1:28" ht="15.75" customHeight="1" thickBot="1" x14ac:dyDescent="0.3">
      <c r="A16" s="318"/>
      <c r="B16" s="16" t="s">
        <v>417</v>
      </c>
      <c r="C16" s="16"/>
      <c r="D16" s="16"/>
      <c r="E16" s="16"/>
      <c r="F16" s="16"/>
      <c r="G16" s="16"/>
      <c r="H16" s="279"/>
      <c r="I16" s="23"/>
      <c r="J16" s="16"/>
      <c r="K16" s="44" t="s">
        <v>4</v>
      </c>
      <c r="L16" s="230"/>
      <c r="M16" s="71"/>
      <c r="N16" s="16"/>
      <c r="O16" s="23"/>
      <c r="P16" s="44" t="s">
        <v>4</v>
      </c>
      <c r="Q16" s="248"/>
      <c r="R16" s="12"/>
      <c r="S16" s="71" t="s">
        <v>123</v>
      </c>
      <c r="T16"/>
      <c r="U16"/>
      <c r="V16"/>
      <c r="X16" s="16"/>
    </row>
    <row r="17" spans="1:31" ht="15.75" customHeight="1" thickBot="1" x14ac:dyDescent="0.3">
      <c r="A17" s="318"/>
      <c r="B17" s="411" t="s">
        <v>422</v>
      </c>
      <c r="C17" s="411"/>
      <c r="D17" s="411"/>
      <c r="E17" s="411"/>
      <c r="F17" s="411"/>
      <c r="G17" s="258"/>
      <c r="H17" s="279"/>
      <c r="I17" s="23"/>
      <c r="J17" s="16"/>
      <c r="K17" s="44" t="s">
        <v>4</v>
      </c>
      <c r="L17" s="230"/>
      <c r="M17" s="71"/>
      <c r="N17" s="16"/>
      <c r="O17" s="23"/>
      <c r="P17" s="44" t="s">
        <v>4</v>
      </c>
      <c r="Q17" s="248"/>
      <c r="R17" s="12"/>
      <c r="S17" s="71" t="s">
        <v>124</v>
      </c>
      <c r="X17" s="16"/>
    </row>
    <row r="18" spans="1:31" ht="15.75" customHeight="1" x14ac:dyDescent="0.25">
      <c r="A18" s="318"/>
      <c r="B18" s="411"/>
      <c r="C18" s="411"/>
      <c r="D18" s="411"/>
      <c r="E18" s="411"/>
      <c r="F18" s="411"/>
      <c r="G18" s="258"/>
      <c r="H18" s="279"/>
      <c r="I18" s="23"/>
      <c r="J18" s="16"/>
      <c r="K18"/>
      <c r="L18" s="230"/>
      <c r="M18" s="71"/>
      <c r="N18" s="16"/>
      <c r="O18" s="23"/>
      <c r="P18"/>
      <c r="Q18" s="248"/>
      <c r="R18" s="12"/>
      <c r="S18" s="71"/>
      <c r="X18" s="16"/>
    </row>
    <row r="19" spans="1:31" ht="15.75" customHeight="1" x14ac:dyDescent="0.25">
      <c r="A19" s="318"/>
      <c r="B19" s="16"/>
      <c r="C19" s="16"/>
      <c r="D19" s="16"/>
      <c r="E19" s="16"/>
      <c r="F19" s="16"/>
      <c r="G19" s="16"/>
      <c r="H19" s="279"/>
      <c r="I19" s="23"/>
      <c r="J19" s="167"/>
      <c r="K19" s="12"/>
      <c r="L19" s="230"/>
      <c r="M19" s="71"/>
      <c r="N19" s="16"/>
      <c r="O19" s="23"/>
      <c r="P19" s="167"/>
      <c r="Q19" s="248"/>
      <c r="R19" s="12"/>
      <c r="S19" s="71"/>
      <c r="X19" s="16"/>
    </row>
    <row r="20" spans="1:31" ht="15.75" customHeight="1" thickBot="1" x14ac:dyDescent="0.3">
      <c r="A20" s="318"/>
      <c r="B20" s="87" t="s">
        <v>409</v>
      </c>
      <c r="C20" s="87"/>
      <c r="D20" s="87"/>
      <c r="E20" s="87"/>
      <c r="F20" s="87"/>
      <c r="G20" s="87"/>
      <c r="H20" s="279"/>
      <c r="I20" s="66" t="s">
        <v>305</v>
      </c>
      <c r="J20" s="66" t="s">
        <v>306</v>
      </c>
      <c r="K20" s="66" t="s">
        <v>307</v>
      </c>
      <c r="L20" s="230"/>
      <c r="M20" s="71"/>
      <c r="N20" s="66" t="s">
        <v>305</v>
      </c>
      <c r="O20" s="66" t="s">
        <v>306</v>
      </c>
      <c r="P20" s="66" t="s">
        <v>307</v>
      </c>
      <c r="Q20" s="249"/>
      <c r="R20" s="16"/>
      <c r="S20" s="71" t="s">
        <v>125</v>
      </c>
      <c r="X20" s="16"/>
    </row>
    <row r="21" spans="1:31" ht="15.75" customHeight="1" thickBot="1" x14ac:dyDescent="0.3">
      <c r="A21" s="318"/>
      <c r="B21" s="16" t="s">
        <v>302</v>
      </c>
      <c r="C21" s="16"/>
      <c r="D21" s="16"/>
      <c r="E21" s="16"/>
      <c r="F21" s="16"/>
      <c r="G21" s="16"/>
      <c r="H21" s="279"/>
      <c r="I21" s="45"/>
      <c r="J21" s="45"/>
      <c r="K21" s="45"/>
      <c r="L21" s="230"/>
      <c r="M21" s="71"/>
      <c r="N21" s="154">
        <f>I21</f>
        <v>0</v>
      </c>
      <c r="O21" s="154">
        <f>J21</f>
        <v>0</v>
      </c>
      <c r="P21" s="154">
        <f>K21</f>
        <v>0</v>
      </c>
      <c r="Q21" s="248"/>
      <c r="R21" s="12" t="s">
        <v>28</v>
      </c>
      <c r="W21" s="240"/>
      <c r="X21" s="240"/>
      <c r="Y21" s="240"/>
      <c r="Z21" s="240"/>
      <c r="AA21" s="240"/>
      <c r="AB21" s="240"/>
      <c r="AC21" s="240"/>
      <c r="AD21" s="240"/>
      <c r="AE21" s="240"/>
    </row>
    <row r="22" spans="1:31" ht="15.75" customHeight="1" thickBot="1" x14ac:dyDescent="0.3">
      <c r="A22" s="318"/>
      <c r="B22" s="23" t="s">
        <v>410</v>
      </c>
      <c r="C22" s="23"/>
      <c r="D22" s="16"/>
      <c r="E22" s="16"/>
      <c r="F22" s="16"/>
      <c r="G22" s="16"/>
      <c r="H22" s="279"/>
      <c r="I22" s="45"/>
      <c r="J22" s="45"/>
      <c r="K22" s="45"/>
      <c r="L22" s="230"/>
      <c r="M22" s="71"/>
      <c r="N22" s="45"/>
      <c r="O22" s="45"/>
      <c r="P22" s="45"/>
      <c r="Q22" s="248"/>
      <c r="R22" s="12" t="s">
        <v>28</v>
      </c>
      <c r="U22" s="240"/>
      <c r="V22" s="240"/>
      <c r="W22" s="240"/>
      <c r="X22" s="240"/>
      <c r="Y22" s="240"/>
      <c r="Z22" s="240"/>
      <c r="AA22" s="240"/>
      <c r="AB22" s="240"/>
      <c r="AC22" s="240"/>
      <c r="AD22" s="240"/>
      <c r="AE22" s="240"/>
    </row>
    <row r="23" spans="1:31" ht="15.75" customHeight="1" thickBot="1" x14ac:dyDescent="0.3">
      <c r="A23" s="318"/>
      <c r="B23" s="406" t="s">
        <v>411</v>
      </c>
      <c r="C23" s="406"/>
      <c r="D23" s="406"/>
      <c r="E23" s="406"/>
      <c r="F23" s="406"/>
      <c r="G23" s="300"/>
      <c r="H23" s="279"/>
      <c r="I23" s="110" t="str">
        <f>IF(OR((I22-I21)&lt;-300,(I22-I21)&gt;100)=TRUE,"No","Yes")</f>
        <v>Yes</v>
      </c>
      <c r="J23" s="110" t="str">
        <f>IF(OR((J22-J21)&lt;-300,(J22-J21)&gt;100)=TRUE,"No","Yes")</f>
        <v>Yes</v>
      </c>
      <c r="K23" s="110" t="str">
        <f>IF(OR((K22-K21)&lt;-300,(K22-K21)&gt;100)=TRUE,"No","Yes")</f>
        <v>Yes</v>
      </c>
      <c r="L23" s="230"/>
      <c r="M23" s="71"/>
      <c r="N23" s="110" t="str">
        <f>IF(OR((N22-N21)&lt;-300,(N22-N21)&gt;100)=TRUE,"No","Yes")</f>
        <v>Yes</v>
      </c>
      <c r="O23" s="110" t="str">
        <f>IF(OR((O22-O21)&lt;-300,(O22-O21)&gt;100)=TRUE,"No","Yes")</f>
        <v>Yes</v>
      </c>
      <c r="P23" s="110" t="str">
        <f>IF(OR((P22-P21)&lt;-300,(P22-P21)&gt;100)=TRUE,"No","Yes")</f>
        <v>Yes</v>
      </c>
      <c r="Q23" s="34"/>
      <c r="R23" s="12"/>
      <c r="S23" s="240"/>
      <c r="T23" s="240"/>
      <c r="U23" s="240"/>
      <c r="V23" s="240"/>
      <c r="W23" s="240"/>
      <c r="X23" s="240"/>
      <c r="Y23" s="240"/>
      <c r="Z23" s="240"/>
      <c r="AA23" s="240"/>
      <c r="AB23" s="240"/>
    </row>
    <row r="24" spans="1:31" ht="15.75" customHeight="1" x14ac:dyDescent="0.25">
      <c r="A24" s="318"/>
      <c r="B24" s="35"/>
      <c r="C24" s="35"/>
      <c r="D24" s="35"/>
      <c r="E24" s="35"/>
      <c r="F24" s="35"/>
      <c r="G24" s="35"/>
      <c r="H24" s="285"/>
      <c r="I24" s="35"/>
      <c r="J24" s="167"/>
      <c r="K24" s="12"/>
      <c r="L24" s="230"/>
      <c r="M24" s="71"/>
      <c r="N24" s="35"/>
      <c r="O24" s="35"/>
      <c r="P24" s="167"/>
      <c r="Q24" s="34"/>
      <c r="R24" s="12"/>
      <c r="S24" s="71"/>
      <c r="T24" s="240"/>
      <c r="U24" s="240"/>
      <c r="V24" s="240"/>
      <c r="X24" s="16"/>
    </row>
    <row r="25" spans="1:31" ht="15.75" customHeight="1" thickBot="1" x14ac:dyDescent="0.3">
      <c r="A25" s="318"/>
      <c r="B25" s="87" t="s">
        <v>412</v>
      </c>
      <c r="C25" s="87"/>
      <c r="D25" s="87"/>
      <c r="E25" s="87"/>
      <c r="F25" s="87"/>
      <c r="G25" s="87"/>
      <c r="H25" s="279"/>
      <c r="I25" s="66" t="s">
        <v>305</v>
      </c>
      <c r="J25" s="66" t="s">
        <v>306</v>
      </c>
      <c r="K25" s="66" t="s">
        <v>307</v>
      </c>
      <c r="L25" s="230"/>
      <c r="M25" s="71"/>
      <c r="N25" s="66" t="s">
        <v>305</v>
      </c>
      <c r="O25" s="66" t="s">
        <v>306</v>
      </c>
      <c r="P25" s="66" t="s">
        <v>307</v>
      </c>
      <c r="Q25" s="249"/>
      <c r="R25" s="16"/>
      <c r="S25" s="71" t="s">
        <v>301</v>
      </c>
      <c r="X25" s="16"/>
    </row>
    <row r="26" spans="1:31" ht="15.75" customHeight="1" thickBot="1" x14ac:dyDescent="0.3">
      <c r="A26" s="318"/>
      <c r="B26" s="16" t="s">
        <v>302</v>
      </c>
      <c r="C26" s="16"/>
      <c r="D26" s="16"/>
      <c r="E26" s="16"/>
      <c r="F26" s="16"/>
      <c r="G26" s="16"/>
      <c r="H26" s="279"/>
      <c r="I26" s="45"/>
      <c r="J26" s="45"/>
      <c r="K26" s="45"/>
      <c r="L26" s="230"/>
      <c r="M26" s="71"/>
      <c r="N26" s="154">
        <f>I26</f>
        <v>0</v>
      </c>
      <c r="O26" s="154">
        <f>J26</f>
        <v>0</v>
      </c>
      <c r="P26" s="154">
        <f>K26</f>
        <v>0</v>
      </c>
      <c r="Q26" s="248"/>
      <c r="R26" s="12" t="s">
        <v>28</v>
      </c>
      <c r="S26" s="71"/>
      <c r="X26" s="16"/>
    </row>
    <row r="27" spans="1:31" ht="15.75" customHeight="1" thickBot="1" x14ac:dyDescent="0.3">
      <c r="A27" s="318"/>
      <c r="B27" s="23" t="s">
        <v>410</v>
      </c>
      <c r="C27" s="23"/>
      <c r="D27" s="16"/>
      <c r="E27" s="16"/>
      <c r="F27" s="16"/>
      <c r="G27" s="16"/>
      <c r="H27" s="279"/>
      <c r="I27" s="45"/>
      <c r="J27" s="45"/>
      <c r="K27" s="45"/>
      <c r="L27" s="230"/>
      <c r="M27" s="71"/>
      <c r="N27" s="45"/>
      <c r="O27" s="45"/>
      <c r="P27" s="45"/>
      <c r="Q27" s="248"/>
      <c r="R27" s="12" t="s">
        <v>28</v>
      </c>
      <c r="S27" s="71"/>
      <c r="X27" s="16"/>
    </row>
    <row r="28" spans="1:31" ht="15.75" customHeight="1" thickBot="1" x14ac:dyDescent="0.3">
      <c r="A28" s="318"/>
      <c r="B28" s="406" t="s">
        <v>430</v>
      </c>
      <c r="C28" s="406"/>
      <c r="D28" s="406"/>
      <c r="E28" s="406"/>
      <c r="F28" s="406"/>
      <c r="G28" s="300"/>
      <c r="H28" s="279"/>
      <c r="I28" s="110" t="str">
        <f>IF(I27&lt;=500,IF(OR((I27-I26)&lt;-60,(I27-I26)&gt;15)=TRUE,"No","Yes"),IF(OR((I27-I26)/I26&lt;-12%,(I27-I26)/I26&gt;3%)=TRUE,"No","Yes"))</f>
        <v>Yes</v>
      </c>
      <c r="J28" s="110" t="str">
        <f>IF(J27&lt;=500,IF(OR((J27-J26)&lt;-60,(J27-J26)&gt;15)=TRUE,"No","Yes"),IF(OR((J27-J26)/J26&lt;-12%,(J27-J26)/J26&gt;3%)=TRUE,"No","Yes"))</f>
        <v>Yes</v>
      </c>
      <c r="K28" s="110" t="str">
        <f>IF(K27&lt;=500,IF(OR((K27-K26)&lt;-60,(K27-K26)&gt;15)=TRUE,"No","Yes"),IF(OR((K27-K26)/K26&lt;-12%,(K27-K26)/K26&gt;3%)=TRUE,"No","Yes"))</f>
        <v>Yes</v>
      </c>
      <c r="L28" s="230"/>
      <c r="M28" s="71"/>
      <c r="N28" s="110" t="str">
        <f>IF(N27&lt;=500,IF(OR((N27-N26)&lt;-60,(N27-N26)&gt;15)=TRUE,"No","Yes"),IF(OR((N27-N26)/N26&lt;-12%,(N27-N26)/N26&gt;3%)=TRUE,"No","Yes"))</f>
        <v>Yes</v>
      </c>
      <c r="O28" s="110" t="str">
        <f>IF(O27&lt;=500,IF(OR((O27-O26)&lt;-60,(O27-O26)&gt;15)=TRUE,"No","Yes"),IF(OR((O27-O26)/O26&lt;-12%,(O27-O26)/O26&gt;3%)=TRUE,"No","Yes"))</f>
        <v>Yes</v>
      </c>
      <c r="P28" s="110" t="str">
        <f>IF(P27&lt;=500,IF(OR((P27-P26)&lt;-60,(P27-P26)&gt;15)=TRUE,"No","Yes"),IF(OR((P27-P26)/P26&lt;-12%,(P27-P26)/P26&gt;3%)=TRUE,"No","Yes"))</f>
        <v>Yes</v>
      </c>
      <c r="Q28" s="250"/>
      <c r="R28" s="12"/>
      <c r="S28" s="71"/>
      <c r="X28" s="16"/>
    </row>
    <row r="29" spans="1:31" ht="15.75" customHeight="1" x14ac:dyDescent="0.25">
      <c r="A29" s="318"/>
      <c r="B29" s="406"/>
      <c r="C29" s="406"/>
      <c r="D29" s="406"/>
      <c r="E29" s="406"/>
      <c r="F29" s="406"/>
      <c r="G29" s="300"/>
      <c r="H29" s="279"/>
      <c r="I29" s="16"/>
      <c r="J29" s="12"/>
      <c r="K29" s="12"/>
      <c r="L29" s="230"/>
      <c r="M29" s="71"/>
      <c r="N29" s="16"/>
      <c r="O29" s="16"/>
      <c r="P29" s="12"/>
      <c r="Q29" s="250"/>
      <c r="R29" s="12"/>
      <c r="S29" s="71"/>
      <c r="X29" s="16"/>
    </row>
    <row r="30" spans="1:31" ht="15.75" customHeight="1" x14ac:dyDescent="0.25">
      <c r="A30" s="318"/>
      <c r="B30" s="257"/>
      <c r="C30" s="300"/>
      <c r="D30" s="257"/>
      <c r="E30" s="257"/>
      <c r="F30" s="257"/>
      <c r="G30" s="300"/>
      <c r="H30" s="279"/>
      <c r="I30" s="16"/>
      <c r="J30" s="12"/>
      <c r="K30" s="12"/>
      <c r="L30" s="230"/>
      <c r="M30" s="71"/>
      <c r="N30" s="16"/>
      <c r="O30" s="16"/>
      <c r="P30" s="12"/>
      <c r="Q30" s="250"/>
      <c r="R30" s="12"/>
      <c r="S30" s="71"/>
      <c r="X30" s="16"/>
    </row>
    <row r="31" spans="1:31" ht="15.75" customHeight="1" thickBot="1" x14ac:dyDescent="0.3">
      <c r="A31" s="318"/>
      <c r="B31" s="87" t="s">
        <v>413</v>
      </c>
      <c r="C31" s="87"/>
      <c r="D31" s="16"/>
      <c r="E31" s="16"/>
      <c r="F31" s="16"/>
      <c r="G31" s="16"/>
      <c r="H31" s="279"/>
      <c r="I31" s="66" t="s">
        <v>305</v>
      </c>
      <c r="J31" s="66" t="s">
        <v>306</v>
      </c>
      <c r="K31" s="66" t="s">
        <v>307</v>
      </c>
      <c r="L31" s="230"/>
      <c r="M31" s="71"/>
      <c r="N31" s="66" t="s">
        <v>305</v>
      </c>
      <c r="O31" s="66" t="s">
        <v>306</v>
      </c>
      <c r="P31" s="66" t="s">
        <v>307</v>
      </c>
      <c r="Q31" s="248"/>
      <c r="R31" s="12"/>
      <c r="S31" s="71"/>
      <c r="X31" s="16"/>
    </row>
    <row r="32" spans="1:31" ht="15.75" customHeight="1" thickBot="1" x14ac:dyDescent="0.3">
      <c r="A32" s="318"/>
      <c r="B32" s="49" t="s">
        <v>414</v>
      </c>
      <c r="C32" s="49"/>
      <c r="D32" s="49"/>
      <c r="E32" s="49"/>
      <c r="F32" s="49"/>
      <c r="G32" s="49"/>
      <c r="H32" s="298"/>
      <c r="I32" s="44" t="s">
        <v>488</v>
      </c>
      <c r="J32" s="44" t="s">
        <v>488</v>
      </c>
      <c r="K32" s="44" t="s">
        <v>488</v>
      </c>
      <c r="L32" s="230"/>
      <c r="M32" s="71"/>
      <c r="N32" s="110" t="str">
        <f>I32</f>
        <v>N/A</v>
      </c>
      <c r="O32" s="110" t="str">
        <f>J32</f>
        <v>N/A</v>
      </c>
      <c r="P32" s="110" t="str">
        <f>K32</f>
        <v>N/A</v>
      </c>
      <c r="Q32" s="252"/>
      <c r="R32" s="12"/>
      <c r="S32" s="71" t="s">
        <v>396</v>
      </c>
      <c r="X32" s="16"/>
    </row>
    <row r="33" spans="1:24" ht="15.75" customHeight="1" thickBot="1" x14ac:dyDescent="0.3">
      <c r="A33" s="318"/>
      <c r="B33" s="49"/>
      <c r="C33" s="49"/>
      <c r="D33" s="49"/>
      <c r="E33" s="49"/>
      <c r="F33" s="49"/>
      <c r="G33" s="49"/>
      <c r="H33" s="298"/>
      <c r="I33" s="50"/>
      <c r="J33" s="16"/>
      <c r="K33"/>
      <c r="L33" s="230"/>
      <c r="M33" s="71"/>
      <c r="N33" s="299"/>
      <c r="O33" s="299"/>
      <c r="P33"/>
      <c r="Q33" s="252"/>
      <c r="R33" s="12"/>
      <c r="S33" s="71"/>
      <c r="X33" s="16"/>
    </row>
    <row r="34" spans="1:24" ht="15.75" customHeight="1" thickBot="1" x14ac:dyDescent="0.3">
      <c r="A34" s="318"/>
      <c r="B34" s="49" t="s">
        <v>415</v>
      </c>
      <c r="C34" s="49"/>
      <c r="D34" s="49"/>
      <c r="E34" s="49"/>
      <c r="F34" s="49"/>
      <c r="G34" s="49"/>
      <c r="H34" s="298"/>
      <c r="I34" s="50"/>
      <c r="J34" s="16"/>
      <c r="K34" s="44" t="s">
        <v>4</v>
      </c>
      <c r="L34" s="230"/>
      <c r="M34" s="71"/>
      <c r="N34" s="50"/>
      <c r="O34" s="50"/>
      <c r="P34" s="44" t="s">
        <v>4</v>
      </c>
      <c r="Q34" s="251"/>
      <c r="R34" s="12"/>
      <c r="S34" s="71" t="s">
        <v>126</v>
      </c>
      <c r="X34" s="16"/>
    </row>
    <row r="35" spans="1:24" ht="15.75" customHeight="1" thickBot="1" x14ac:dyDescent="0.3">
      <c r="A35" s="318"/>
      <c r="B35" s="410" t="s">
        <v>416</v>
      </c>
      <c r="C35" s="410"/>
      <c r="D35" s="410"/>
      <c r="E35" s="410"/>
      <c r="F35" s="410"/>
      <c r="G35" s="299"/>
      <c r="H35" s="298"/>
      <c r="I35" s="50"/>
      <c r="J35" s="16"/>
      <c r="K35" s="44" t="s">
        <v>4</v>
      </c>
      <c r="L35" s="230"/>
      <c r="M35" s="71"/>
      <c r="N35" s="260"/>
      <c r="O35" s="260"/>
      <c r="P35" s="110" t="str">
        <f>K35</f>
        <v>Yes</v>
      </c>
      <c r="Q35" s="252"/>
      <c r="R35" s="12"/>
      <c r="S35" s="71" t="s">
        <v>397</v>
      </c>
      <c r="X35" s="16"/>
    </row>
    <row r="36" spans="1:24" ht="15.75" customHeight="1" thickBot="1" x14ac:dyDescent="0.3">
      <c r="A36" s="318"/>
      <c r="B36" s="299"/>
      <c r="C36" s="299"/>
      <c r="D36" s="299"/>
      <c r="E36" s="299"/>
      <c r="F36" s="299"/>
      <c r="G36" s="299"/>
      <c r="H36" s="298"/>
      <c r="I36" s="50"/>
      <c r="J36" s="16"/>
      <c r="K36"/>
      <c r="L36" s="230"/>
      <c r="M36" s="71"/>
      <c r="N36" s="299"/>
      <c r="O36" s="299"/>
      <c r="P36"/>
      <c r="Q36" s="252"/>
      <c r="R36" s="12"/>
      <c r="S36" s="71"/>
      <c r="X36" s="16"/>
    </row>
    <row r="37" spans="1:24" ht="15.75" customHeight="1" thickBot="1" x14ac:dyDescent="0.3">
      <c r="A37" s="346" t="s">
        <v>475</v>
      </c>
      <c r="B37" s="343"/>
      <c r="C37" s="343"/>
      <c r="D37" s="343"/>
      <c r="E37" s="343"/>
      <c r="F37" s="343"/>
      <c r="G37" s="343"/>
      <c r="H37" s="343"/>
      <c r="I37" s="343"/>
      <c r="J37" s="343"/>
      <c r="K37" s="343"/>
      <c r="L37" s="343"/>
      <c r="M37" s="343"/>
      <c r="N37" s="344" t="s">
        <v>461</v>
      </c>
      <c r="O37" s="343"/>
      <c r="P37" s="154" t="str">
        <f>IF($E$10="Unit in a multifamily building w/ heat gain ≤18 kBTUh &amp; heat loss ≤35 kBTUh","Yes","No")</f>
        <v>No</v>
      </c>
      <c r="Q37" s="345"/>
      <c r="R37" s="234"/>
      <c r="S37" s="234"/>
      <c r="W37" s="71"/>
    </row>
    <row r="38" spans="1:24" ht="15.75" customHeight="1" thickBot="1" x14ac:dyDescent="0.3">
      <c r="A38" s="351"/>
      <c r="B38" s="352"/>
      <c r="C38" s="352"/>
      <c r="D38" s="352"/>
      <c r="E38" s="352"/>
      <c r="F38" s="352"/>
      <c r="G38" s="352"/>
      <c r="H38" s="352"/>
      <c r="I38" s="352"/>
      <c r="J38" s="352"/>
      <c r="K38" s="352"/>
      <c r="L38" s="352"/>
      <c r="M38" s="352"/>
      <c r="N38" s="353"/>
      <c r="O38" s="355" t="s">
        <v>490</v>
      </c>
      <c r="P38" s="154" t="str">
        <f>IF(P37="No","N/A",IF(ISBLANK(I51)+ISBLANK(N52)&gt;0,"No","Yes"))</f>
        <v>N/A</v>
      </c>
      <c r="Q38" s="354"/>
      <c r="R38" s="234"/>
      <c r="S38" s="234"/>
      <c r="T38" s="234"/>
      <c r="U38" s="234"/>
      <c r="V38" s="234"/>
      <c r="W38" s="71"/>
    </row>
    <row r="39" spans="1:24" ht="15.75" customHeight="1" x14ac:dyDescent="0.25">
      <c r="A39" s="319"/>
      <c r="B39" s="57"/>
      <c r="C39" s="57"/>
      <c r="D39" s="57"/>
      <c r="E39" s="271"/>
      <c r="F39" s="271"/>
      <c r="G39" s="271"/>
      <c r="H39" s="307"/>
      <c r="I39" s="402" t="s">
        <v>394</v>
      </c>
      <c r="J39" s="402"/>
      <c r="K39" s="402"/>
      <c r="L39" s="272"/>
      <c r="M39" s="273"/>
      <c r="N39" s="402" t="s">
        <v>395</v>
      </c>
      <c r="O39" s="402"/>
      <c r="P39" s="402"/>
      <c r="Q39" s="274"/>
      <c r="R39" s="234"/>
      <c r="S39" s="234"/>
      <c r="T39" s="234"/>
      <c r="U39" s="234"/>
      <c r="V39" s="234"/>
      <c r="W39" s="71"/>
    </row>
    <row r="40" spans="1:24" ht="15.75" customHeight="1" thickBot="1" x14ac:dyDescent="0.3">
      <c r="A40" s="320"/>
      <c r="B40" s="87" t="s">
        <v>420</v>
      </c>
      <c r="C40" s="87"/>
      <c r="D40" s="241"/>
      <c r="E40" s="241"/>
      <c r="F40" s="241"/>
      <c r="G40" s="241"/>
      <c r="H40" s="311"/>
      <c r="I40" s="242"/>
      <c r="J40" s="242"/>
      <c r="K40" s="232"/>
      <c r="L40" s="233"/>
      <c r="M40" s="244"/>
      <c r="N40" s="232"/>
      <c r="O40" s="232"/>
      <c r="P40" s="232"/>
      <c r="Q40" s="255"/>
      <c r="R40" s="234"/>
      <c r="S40" s="234"/>
      <c r="T40" s="234"/>
      <c r="U40" s="234"/>
      <c r="V40" s="234"/>
      <c r="W40" s="71"/>
    </row>
    <row r="41" spans="1:24" ht="15.75" customHeight="1" thickBot="1" x14ac:dyDescent="0.3">
      <c r="A41" s="318"/>
      <c r="B41" s="412" t="s">
        <v>418</v>
      </c>
      <c r="C41" s="412"/>
      <c r="D41" s="412"/>
      <c r="E41" s="412"/>
      <c r="F41" s="412"/>
      <c r="G41" s="301"/>
      <c r="H41" s="284"/>
      <c r="I41" s="41"/>
      <c r="J41" s="16"/>
      <c r="K41" s="44" t="s">
        <v>4</v>
      </c>
      <c r="L41" s="230"/>
      <c r="M41" s="245"/>
      <c r="N41" s="35"/>
      <c r="O41" s="35"/>
      <c r="P41" s="44" t="s">
        <v>4</v>
      </c>
      <c r="Q41" s="34"/>
      <c r="R41" s="12"/>
      <c r="S41" s="71" t="s">
        <v>127</v>
      </c>
      <c r="T41" s="234"/>
      <c r="U41" s="234"/>
      <c r="V41" s="234"/>
    </row>
    <row r="42" spans="1:24" ht="15.75" customHeight="1" thickBot="1" x14ac:dyDescent="0.3">
      <c r="A42" s="318"/>
      <c r="B42" s="410" t="s">
        <v>421</v>
      </c>
      <c r="C42" s="410"/>
      <c r="D42" s="410"/>
      <c r="E42" s="410"/>
      <c r="F42" s="410"/>
      <c r="G42" s="299"/>
      <c r="H42" s="284"/>
      <c r="I42" s="41"/>
      <c r="J42" s="16"/>
      <c r="K42" s="44" t="s">
        <v>4</v>
      </c>
      <c r="L42" s="230"/>
      <c r="M42" s="245"/>
      <c r="N42" s="35"/>
      <c r="O42" s="35"/>
      <c r="P42" s="44" t="s">
        <v>4</v>
      </c>
      <c r="Q42" s="34"/>
      <c r="R42" s="12"/>
      <c r="S42" s="71" t="s">
        <v>128</v>
      </c>
      <c r="T42" s="16"/>
    </row>
    <row r="43" spans="1:24" ht="15.75" customHeight="1" x14ac:dyDescent="0.25">
      <c r="A43" s="318"/>
      <c r="B43" s="410"/>
      <c r="C43" s="410"/>
      <c r="D43" s="410"/>
      <c r="E43" s="410"/>
      <c r="F43" s="410"/>
      <c r="G43" s="299"/>
      <c r="H43" s="284"/>
      <c r="I43" s="41"/>
      <c r="J43" s="16"/>
      <c r="K43" s="16"/>
      <c r="L43" s="230"/>
      <c r="M43" s="245"/>
      <c r="N43" s="35"/>
      <c r="O43" s="35"/>
      <c r="P43" s="16"/>
      <c r="Q43" s="34"/>
      <c r="R43" s="12"/>
      <c r="S43" s="71"/>
      <c r="T43" s="16"/>
    </row>
    <row r="44" spans="1:24" ht="15.75" customHeight="1" x14ac:dyDescent="0.25">
      <c r="A44" s="318"/>
      <c r="B44" s="410"/>
      <c r="C44" s="410"/>
      <c r="D44" s="410"/>
      <c r="E44" s="410"/>
      <c r="F44" s="410"/>
      <c r="G44" s="299"/>
      <c r="H44" s="284"/>
      <c r="I44" s="41"/>
      <c r="J44" s="16"/>
      <c r="K44" s="16"/>
      <c r="L44" s="230"/>
      <c r="M44" s="245"/>
      <c r="N44" s="35"/>
      <c r="O44" s="35"/>
      <c r="P44" s="16"/>
      <c r="Q44" s="34"/>
      <c r="R44" s="12"/>
      <c r="S44" s="71"/>
      <c r="T44" s="16"/>
    </row>
    <row r="45" spans="1:24" ht="15.75" customHeight="1" thickBot="1" x14ac:dyDescent="0.3">
      <c r="A45" s="318"/>
      <c r="B45" s="299"/>
      <c r="C45" s="299"/>
      <c r="D45" s="299"/>
      <c r="E45" s="299"/>
      <c r="F45" s="299"/>
      <c r="G45" s="299"/>
      <c r="H45" s="284"/>
      <c r="I45" s="41"/>
      <c r="J45" s="16"/>
      <c r="K45" s="16"/>
      <c r="L45" s="230"/>
      <c r="M45" s="245"/>
      <c r="N45" s="35"/>
      <c r="O45" s="35"/>
      <c r="P45" s="16"/>
      <c r="Q45" s="34"/>
      <c r="R45" s="12"/>
      <c r="S45" s="71"/>
      <c r="T45" s="16"/>
    </row>
    <row r="46" spans="1:24" ht="15.75" customHeight="1" thickBot="1" x14ac:dyDescent="0.3">
      <c r="A46" s="318"/>
      <c r="B46" s="411" t="s">
        <v>423</v>
      </c>
      <c r="C46" s="411"/>
      <c r="D46" s="411"/>
      <c r="E46" s="411"/>
      <c r="F46" s="411"/>
      <c r="G46" s="301"/>
      <c r="H46" s="284"/>
      <c r="I46" s="41"/>
      <c r="J46" s="16"/>
      <c r="K46" s="44" t="s">
        <v>4</v>
      </c>
      <c r="L46" s="230"/>
      <c r="M46" s="245"/>
      <c r="N46" s="35"/>
      <c r="O46" s="34"/>
      <c r="P46" s="44" t="s">
        <v>4</v>
      </c>
      <c r="Q46" s="34"/>
      <c r="R46" s="12"/>
      <c r="S46" s="71" t="s">
        <v>133</v>
      </c>
      <c r="T46" s="16"/>
    </row>
    <row r="47" spans="1:24" ht="15.75" customHeight="1" x14ac:dyDescent="0.25">
      <c r="A47" s="318"/>
      <c r="B47" s="411"/>
      <c r="C47" s="411"/>
      <c r="D47" s="411"/>
      <c r="E47" s="411"/>
      <c r="F47" s="411"/>
      <c r="G47" s="301"/>
      <c r="H47" s="284"/>
      <c r="I47" s="41"/>
      <c r="J47" s="16"/>
      <c r="K47"/>
      <c r="L47" s="230"/>
      <c r="M47" s="245"/>
      <c r="N47" s="35"/>
      <c r="O47" s="35"/>
      <c r="P47"/>
      <c r="Q47" s="34"/>
      <c r="R47" s="12"/>
      <c r="S47" s="71"/>
      <c r="T47" s="16"/>
    </row>
    <row r="48" spans="1:24" ht="15.75" customHeight="1" x14ac:dyDescent="0.25">
      <c r="A48" s="318"/>
      <c r="B48" s="411"/>
      <c r="C48" s="411"/>
      <c r="D48" s="411"/>
      <c r="E48" s="411"/>
      <c r="F48" s="411"/>
      <c r="G48" s="301"/>
      <c r="H48" s="284"/>
      <c r="I48" s="41"/>
      <c r="J48" s="16"/>
      <c r="K48"/>
      <c r="L48" s="230"/>
      <c r="M48" s="245"/>
      <c r="N48" s="35"/>
      <c r="O48" s="35"/>
      <c r="P48"/>
      <c r="Q48" s="34"/>
      <c r="R48" s="12"/>
      <c r="S48" s="71"/>
      <c r="T48" s="16"/>
    </row>
    <row r="49" spans="1:24" ht="15.75" customHeight="1" x14ac:dyDescent="0.25">
      <c r="A49" s="318"/>
      <c r="B49" s="35"/>
      <c r="C49" s="35"/>
      <c r="D49" s="35"/>
      <c r="E49" s="35"/>
      <c r="F49" s="35"/>
      <c r="G49" s="35"/>
      <c r="H49" s="285"/>
      <c r="I49" s="35"/>
      <c r="J49" s="16"/>
      <c r="K49" s="12"/>
      <c r="L49" s="230"/>
      <c r="M49" s="245"/>
      <c r="N49" s="35"/>
      <c r="O49" s="35"/>
      <c r="P49" s="16"/>
      <c r="Q49" s="34"/>
      <c r="R49" s="12"/>
      <c r="S49" s="71"/>
      <c r="T49" s="16"/>
    </row>
    <row r="50" spans="1:24" ht="15.75" customHeight="1" thickBot="1" x14ac:dyDescent="0.3">
      <c r="A50" s="318"/>
      <c r="B50" s="87" t="s">
        <v>412</v>
      </c>
      <c r="C50" s="87"/>
      <c r="D50" s="87"/>
      <c r="E50" s="87"/>
      <c r="F50" s="87"/>
      <c r="G50" s="87"/>
      <c r="H50" s="279"/>
      <c r="I50" s="66" t="s">
        <v>305</v>
      </c>
      <c r="J50" s="66" t="s">
        <v>306</v>
      </c>
      <c r="K50" s="66" t="s">
        <v>307</v>
      </c>
      <c r="L50" s="230"/>
      <c r="M50" s="245"/>
      <c r="N50" s="66" t="s">
        <v>305</v>
      </c>
      <c r="O50" s="66" t="s">
        <v>306</v>
      </c>
      <c r="P50" s="66" t="s">
        <v>307</v>
      </c>
      <c r="Q50" s="249"/>
      <c r="R50" s="16"/>
      <c r="S50" s="71" t="s">
        <v>129</v>
      </c>
      <c r="T50" s="16"/>
    </row>
    <row r="51" spans="1:24" ht="15.75" customHeight="1" thickBot="1" x14ac:dyDescent="0.3">
      <c r="A51" s="318"/>
      <c r="B51" s="16" t="s">
        <v>302</v>
      </c>
      <c r="C51" s="16"/>
      <c r="D51" s="16"/>
      <c r="E51" s="16"/>
      <c r="F51" s="16"/>
      <c r="G51" s="16"/>
      <c r="H51" s="279"/>
      <c r="I51" s="45"/>
      <c r="J51" s="45"/>
      <c r="K51" s="45"/>
      <c r="L51" s="230"/>
      <c r="M51" s="245"/>
      <c r="N51" s="154">
        <f>I51</f>
        <v>0</v>
      </c>
      <c r="O51" s="154">
        <f>J51</f>
        <v>0</v>
      </c>
      <c r="P51" s="154">
        <f>K51</f>
        <v>0</v>
      </c>
      <c r="Q51" s="248"/>
      <c r="R51" s="12" t="s">
        <v>28</v>
      </c>
      <c r="S51" s="71"/>
      <c r="T51" s="16"/>
    </row>
    <row r="52" spans="1:24" ht="15.75" customHeight="1" thickBot="1" x14ac:dyDescent="0.3">
      <c r="A52" s="318"/>
      <c r="B52" s="23" t="s">
        <v>410</v>
      </c>
      <c r="C52" s="23"/>
      <c r="D52" s="16"/>
      <c r="E52" s="16"/>
      <c r="F52" s="16"/>
      <c r="G52" s="16"/>
      <c r="H52" s="279"/>
      <c r="I52" s="45"/>
      <c r="J52" s="45"/>
      <c r="K52" s="45"/>
      <c r="L52" s="230"/>
      <c r="M52" s="245"/>
      <c r="N52" s="45"/>
      <c r="O52" s="45"/>
      <c r="P52" s="45"/>
      <c r="Q52" s="248"/>
      <c r="R52" s="12" t="s">
        <v>28</v>
      </c>
      <c r="S52" s="71"/>
      <c r="T52" s="16"/>
    </row>
    <row r="53" spans="1:24" ht="15.75" customHeight="1" thickBot="1" x14ac:dyDescent="0.3">
      <c r="A53" s="318"/>
      <c r="B53" s="235" t="s">
        <v>424</v>
      </c>
      <c r="C53" s="235"/>
      <c r="D53" s="235"/>
      <c r="E53" s="235"/>
      <c r="F53" s="235"/>
      <c r="G53" s="235"/>
      <c r="H53" s="279"/>
      <c r="I53" s="110" t="str">
        <f>IF(I52-I51&gt;0=TRUE,"No","Yes")</f>
        <v>Yes</v>
      </c>
      <c r="J53" s="110" t="str">
        <f>IF(J52-J51&gt;0=TRUE,"No","Yes")</f>
        <v>Yes</v>
      </c>
      <c r="K53" s="110" t="str">
        <f>IF(K52-K51&gt;0=TRUE,"No","Yes")</f>
        <v>Yes</v>
      </c>
      <c r="L53" s="230"/>
      <c r="M53" s="245"/>
      <c r="N53" s="110" t="str">
        <f>IF(N52-N51&gt;0=TRUE,"No","Yes")</f>
        <v>Yes</v>
      </c>
      <c r="O53" s="110" t="str">
        <f>IF(O52-O51&gt;0=TRUE,"No","Yes")</f>
        <v>Yes</v>
      </c>
      <c r="P53" s="110" t="str">
        <f>IF(P52-P51&gt;0=TRUE,"No","Yes")</f>
        <v>Yes</v>
      </c>
      <c r="Q53" s="256"/>
      <c r="R53" s="12"/>
      <c r="S53" s="71"/>
      <c r="T53" s="16"/>
    </row>
    <row r="54" spans="1:24" ht="15.75" customHeight="1" x14ac:dyDescent="0.25">
      <c r="A54" s="318"/>
      <c r="B54" s="235"/>
      <c r="C54" s="235"/>
      <c r="D54" s="235"/>
      <c r="E54" s="235"/>
      <c r="F54" s="235"/>
      <c r="G54" s="235"/>
      <c r="H54" s="279"/>
      <c r="I54"/>
      <c r="J54"/>
      <c r="K54"/>
      <c r="L54" s="230"/>
      <c r="M54" s="245"/>
      <c r="N54"/>
      <c r="O54"/>
      <c r="P54"/>
      <c r="Q54" s="256"/>
      <c r="R54" s="12"/>
      <c r="S54" s="71"/>
      <c r="T54" s="16"/>
    </row>
    <row r="55" spans="1:24" ht="15.75" customHeight="1" thickBot="1" x14ac:dyDescent="0.3">
      <c r="A55" s="318"/>
      <c r="B55" s="87" t="s">
        <v>472</v>
      </c>
      <c r="C55" s="87"/>
      <c r="D55" s="235"/>
      <c r="E55" s="235"/>
      <c r="F55" s="235"/>
      <c r="G55" s="235"/>
      <c r="H55" s="279"/>
      <c r="I55" s="16"/>
      <c r="J55" s="12"/>
      <c r="K55" s="12"/>
      <c r="L55" s="230"/>
      <c r="M55" s="245"/>
      <c r="N55" s="16"/>
      <c r="O55" s="16"/>
      <c r="P55" s="12"/>
      <c r="Q55" s="256"/>
      <c r="R55" s="12"/>
      <c r="S55" s="71"/>
      <c r="T55" s="16"/>
    </row>
    <row r="56" spans="1:24" ht="15.75" customHeight="1" thickBot="1" x14ac:dyDescent="0.3">
      <c r="A56" s="318"/>
      <c r="B56" s="406" t="s">
        <v>425</v>
      </c>
      <c r="C56" s="406"/>
      <c r="D56" s="406"/>
      <c r="E56" s="406"/>
      <c r="F56" s="406"/>
      <c r="G56" s="300"/>
      <c r="H56" s="284"/>
      <c r="I56" s="41"/>
      <c r="J56" s="16"/>
      <c r="K56" s="44" t="s">
        <v>4</v>
      </c>
      <c r="L56" s="230"/>
      <c r="M56" s="245"/>
      <c r="N56" s="35"/>
      <c r="O56" s="35"/>
      <c r="P56" s="44" t="s">
        <v>4</v>
      </c>
      <c r="Q56" s="34"/>
      <c r="R56" s="12"/>
      <c r="S56" s="71" t="s">
        <v>130</v>
      </c>
      <c r="T56" s="16"/>
    </row>
    <row r="57" spans="1:24" ht="15.75" customHeight="1" thickBot="1" x14ac:dyDescent="0.3">
      <c r="A57" s="318"/>
      <c r="B57" s="406"/>
      <c r="C57" s="406"/>
      <c r="D57" s="406"/>
      <c r="E57" s="406"/>
      <c r="F57" s="406"/>
      <c r="G57" s="300"/>
      <c r="H57" s="284"/>
      <c r="I57" s="41"/>
      <c r="J57" s="16"/>
      <c r="K57" s="16"/>
      <c r="L57" s="230"/>
      <c r="M57" s="245"/>
      <c r="N57" s="35"/>
      <c r="O57" s="35"/>
      <c r="P57" s="16"/>
      <c r="Q57" s="34"/>
      <c r="R57" s="12"/>
      <c r="S57" s="71"/>
      <c r="T57" s="16"/>
    </row>
    <row r="58" spans="1:24" ht="15.75" customHeight="1" thickBot="1" x14ac:dyDescent="0.3">
      <c r="A58" s="321"/>
      <c r="B58" s="41" t="s">
        <v>426</v>
      </c>
      <c r="C58" s="41"/>
      <c r="D58" s="41"/>
      <c r="E58" s="41"/>
      <c r="F58" s="41"/>
      <c r="G58" s="300"/>
      <c r="H58" s="284"/>
      <c r="I58" s="41"/>
      <c r="J58" s="16"/>
      <c r="K58" s="44" t="s">
        <v>4</v>
      </c>
      <c r="L58" s="230"/>
      <c r="M58" s="245"/>
      <c r="N58" s="261"/>
      <c r="O58" s="261"/>
      <c r="P58" s="110" t="str">
        <f>K58</f>
        <v>Yes</v>
      </c>
      <c r="Q58" s="263"/>
      <c r="R58" s="12"/>
      <c r="S58" s="71" t="s">
        <v>398</v>
      </c>
      <c r="T58" s="16"/>
    </row>
    <row r="59" spans="1:24" customFormat="1" ht="15.75" customHeight="1" thickBot="1" x14ac:dyDescent="0.3">
      <c r="A59" s="318"/>
      <c r="B59" s="299"/>
      <c r="C59" s="299"/>
      <c r="D59" s="299"/>
      <c r="E59" s="299"/>
      <c r="F59" s="299"/>
      <c r="G59" s="299"/>
      <c r="H59" s="298"/>
      <c r="I59" s="50"/>
      <c r="J59" s="16"/>
      <c r="L59" s="230"/>
      <c r="M59" s="71"/>
      <c r="N59" s="299"/>
      <c r="O59" s="299"/>
      <c r="Q59" s="252"/>
      <c r="S59" s="8"/>
      <c r="T59" s="16"/>
      <c r="U59" s="8"/>
      <c r="V59" s="8"/>
      <c r="W59" s="167"/>
      <c r="X59" s="167"/>
    </row>
    <row r="60" spans="1:24" ht="15.75" customHeight="1" thickBot="1" x14ac:dyDescent="0.3">
      <c r="A60" s="346" t="s">
        <v>478</v>
      </c>
      <c r="B60" s="343"/>
      <c r="C60" s="343"/>
      <c r="D60" s="343"/>
      <c r="E60" s="343"/>
      <c r="F60" s="343"/>
      <c r="G60" s="343"/>
      <c r="H60" s="343"/>
      <c r="I60" s="343"/>
      <c r="J60" s="343"/>
      <c r="K60" s="343"/>
      <c r="L60" s="343"/>
      <c r="M60" s="343"/>
      <c r="N60" s="344" t="s">
        <v>461</v>
      </c>
      <c r="O60" s="343"/>
      <c r="P60" s="154" t="str">
        <f>IF($E$10="Unit in a multifamily building w/ heat gain &gt;18 kBTUh or heat loss &gt;35 kBTUh","Yes","No")</f>
        <v>No</v>
      </c>
      <c r="Q60" s="345"/>
      <c r="R60" s="234"/>
      <c r="S60" s="234"/>
      <c r="V60"/>
      <c r="W60" s="71"/>
      <c r="X60" s="16"/>
    </row>
    <row r="61" spans="1:24" ht="15.75" customHeight="1" thickBot="1" x14ac:dyDescent="0.3">
      <c r="A61" s="351"/>
      <c r="B61" s="352"/>
      <c r="C61" s="352"/>
      <c r="D61" s="352"/>
      <c r="E61" s="352"/>
      <c r="F61" s="352"/>
      <c r="G61" s="352"/>
      <c r="H61" s="352"/>
      <c r="I61" s="352"/>
      <c r="J61" s="352"/>
      <c r="K61" s="352"/>
      <c r="L61" s="352"/>
      <c r="M61" s="352"/>
      <c r="N61" s="353"/>
      <c r="O61" s="355" t="s">
        <v>490</v>
      </c>
      <c r="P61" s="154" t="str">
        <f>IF(P60="No","N/A",IF(ISBLANK(I70)+ISBLANK(N71)+ISBLANK(I75)+ISBLANK(N76)&gt;0,"No","Yes"))</f>
        <v>N/A</v>
      </c>
      <c r="Q61" s="354"/>
      <c r="R61" s="234"/>
      <c r="S61" s="234"/>
      <c r="T61" s="234"/>
      <c r="U61" s="234"/>
      <c r="V61" s="12"/>
      <c r="W61" s="71"/>
      <c r="X61" s="16"/>
    </row>
    <row r="62" spans="1:24" customFormat="1" ht="15.75" customHeight="1" x14ac:dyDescent="0.25">
      <c r="A62" s="322"/>
      <c r="B62" s="167"/>
      <c r="C62" s="167"/>
      <c r="D62" s="167"/>
      <c r="E62" s="167"/>
      <c r="F62" s="167"/>
      <c r="G62" s="167"/>
      <c r="H62" s="347"/>
      <c r="I62" s="405" t="s">
        <v>394</v>
      </c>
      <c r="J62" s="405"/>
      <c r="K62" s="405"/>
      <c r="L62" s="348"/>
      <c r="M62" s="349"/>
      <c r="N62" s="405" t="s">
        <v>395</v>
      </c>
      <c r="O62" s="405"/>
      <c r="P62" s="405"/>
      <c r="Q62" s="350"/>
      <c r="R62" s="167"/>
      <c r="S62" s="167"/>
      <c r="T62" s="234"/>
      <c r="U62" s="234"/>
      <c r="V62" s="12"/>
      <c r="W62" s="167"/>
      <c r="X62" s="167"/>
    </row>
    <row r="63" spans="1:24" ht="15.75" customHeight="1" thickBot="1" x14ac:dyDescent="0.3">
      <c r="A63" s="323"/>
      <c r="B63" s="87" t="s">
        <v>420</v>
      </c>
      <c r="C63" s="87"/>
      <c r="D63" s="268"/>
      <c r="E63" s="268"/>
      <c r="F63" s="268"/>
      <c r="G63" s="268"/>
      <c r="H63" s="277"/>
      <c r="I63" s="268"/>
      <c r="J63" s="268"/>
      <c r="K63" s="12"/>
      <c r="L63" s="71"/>
      <c r="M63" s="245"/>
      <c r="N63" s="234"/>
      <c r="O63" s="234"/>
      <c r="P63" s="234"/>
      <c r="Q63" s="278"/>
      <c r="R63" s="234"/>
      <c r="S63" s="234"/>
      <c r="T63" s="167"/>
      <c r="U63" s="167"/>
      <c r="V63" s="167"/>
      <c r="W63" s="71"/>
      <c r="X63" s="16"/>
    </row>
    <row r="64" spans="1:24" ht="15.75" customHeight="1" thickBot="1" x14ac:dyDescent="0.3">
      <c r="A64" s="318"/>
      <c r="B64" s="41" t="s">
        <v>418</v>
      </c>
      <c r="C64" s="41"/>
      <c r="D64" s="41"/>
      <c r="E64" s="41"/>
      <c r="F64" s="41"/>
      <c r="G64" s="41"/>
      <c r="H64" s="284"/>
      <c r="I64" s="41"/>
      <c r="J64" s="16"/>
      <c r="K64" s="44" t="s">
        <v>4</v>
      </c>
      <c r="L64" s="71"/>
      <c r="M64" s="245"/>
      <c r="N64" s="35"/>
      <c r="O64" s="35"/>
      <c r="P64" s="44" t="s">
        <v>4</v>
      </c>
      <c r="Q64" s="34"/>
      <c r="R64" s="12"/>
      <c r="S64" s="71" t="s">
        <v>131</v>
      </c>
      <c r="T64" s="234"/>
      <c r="U64" s="234"/>
      <c r="V64" s="12"/>
      <c r="W64" s="16"/>
      <c r="X64" s="16"/>
    </row>
    <row r="65" spans="1:24" ht="15.75" customHeight="1" thickBot="1" x14ac:dyDescent="0.3">
      <c r="A65" s="318"/>
      <c r="B65" s="41" t="s">
        <v>419</v>
      </c>
      <c r="C65" s="41"/>
      <c r="D65" s="41"/>
      <c r="E65" s="41"/>
      <c r="F65" s="41"/>
      <c r="G65" s="41"/>
      <c r="H65" s="284"/>
      <c r="I65" s="41"/>
      <c r="J65" s="16"/>
      <c r="K65" s="44" t="s">
        <v>4</v>
      </c>
      <c r="L65" s="71"/>
      <c r="M65" s="245"/>
      <c r="N65" s="35"/>
      <c r="O65" s="34"/>
      <c r="P65" s="44" t="s">
        <v>4</v>
      </c>
      <c r="Q65" s="34"/>
      <c r="R65" s="12"/>
      <c r="S65" s="71" t="s">
        <v>132</v>
      </c>
      <c r="T65" s="16"/>
      <c r="U65" s="16"/>
      <c r="V65" s="16"/>
      <c r="W65" s="16"/>
      <c r="X65" s="16"/>
    </row>
    <row r="66" spans="1:24" ht="15.75" customHeight="1" thickBot="1" x14ac:dyDescent="0.3">
      <c r="A66" s="318"/>
      <c r="B66" s="411" t="s">
        <v>422</v>
      </c>
      <c r="C66" s="411"/>
      <c r="D66" s="411"/>
      <c r="E66" s="411"/>
      <c r="F66" s="411"/>
      <c r="G66" s="41"/>
      <c r="H66" s="284"/>
      <c r="I66" s="41"/>
      <c r="J66" s="16"/>
      <c r="K66" s="44" t="s">
        <v>4</v>
      </c>
      <c r="L66" s="71"/>
      <c r="M66" s="245"/>
      <c r="N66" s="35"/>
      <c r="O66" s="34"/>
      <c r="P66" s="44" t="s">
        <v>4</v>
      </c>
      <c r="Q66" s="34"/>
      <c r="R66" s="12"/>
      <c r="S66" s="71" t="s">
        <v>134</v>
      </c>
      <c r="T66" s="16"/>
      <c r="U66" s="16"/>
      <c r="V66" s="16"/>
      <c r="W66" s="16"/>
      <c r="X66" s="16"/>
    </row>
    <row r="67" spans="1:24" ht="15.75" customHeight="1" x14ac:dyDescent="0.25">
      <c r="A67" s="318"/>
      <c r="B67" s="411"/>
      <c r="C67" s="411"/>
      <c r="D67" s="411"/>
      <c r="E67" s="411"/>
      <c r="F67" s="411"/>
      <c r="G67" s="41"/>
      <c r="H67" s="284"/>
      <c r="I67" s="41"/>
      <c r="J67" s="16"/>
      <c r="K67"/>
      <c r="L67" s="71"/>
      <c r="M67" s="245"/>
      <c r="N67" s="35"/>
      <c r="O67" s="35"/>
      <c r="P67"/>
      <c r="Q67" s="34"/>
      <c r="R67" s="12"/>
      <c r="S67" s="71"/>
      <c r="T67" s="16"/>
      <c r="U67" s="16"/>
      <c r="V67" s="16"/>
      <c r="W67" s="16"/>
      <c r="X67" s="16"/>
    </row>
    <row r="68" spans="1:24" ht="15.75" customHeight="1" x14ac:dyDescent="0.25">
      <c r="A68" s="318"/>
      <c r="B68" s="35"/>
      <c r="C68" s="35"/>
      <c r="D68" s="35"/>
      <c r="E68" s="35"/>
      <c r="F68" s="35"/>
      <c r="G68" s="35"/>
      <c r="H68" s="285"/>
      <c r="I68" s="35"/>
      <c r="J68" s="16"/>
      <c r="K68" s="12"/>
      <c r="L68" s="71"/>
      <c r="M68" s="245"/>
      <c r="N68" s="35"/>
      <c r="O68" s="35"/>
      <c r="P68" s="16"/>
      <c r="Q68" s="34"/>
      <c r="R68" s="12"/>
      <c r="S68" s="71"/>
      <c r="T68" s="16"/>
      <c r="U68" s="16"/>
      <c r="V68" s="16"/>
      <c r="W68" s="16"/>
      <c r="X68" s="16"/>
    </row>
    <row r="69" spans="1:24" ht="15.75" customHeight="1" thickBot="1" x14ac:dyDescent="0.3">
      <c r="A69" s="318"/>
      <c r="B69" s="87" t="s">
        <v>409</v>
      </c>
      <c r="C69" s="87"/>
      <c r="D69" s="87"/>
      <c r="E69" s="87"/>
      <c r="F69" s="87"/>
      <c r="G69" s="87"/>
      <c r="H69" s="279"/>
      <c r="I69" s="66" t="s">
        <v>305</v>
      </c>
      <c r="J69" s="66" t="s">
        <v>306</v>
      </c>
      <c r="K69" s="66" t="s">
        <v>307</v>
      </c>
      <c r="L69" s="71"/>
      <c r="M69" s="245"/>
      <c r="N69" s="66" t="s">
        <v>305</v>
      </c>
      <c r="O69" s="66" t="s">
        <v>306</v>
      </c>
      <c r="P69" s="66" t="s">
        <v>307</v>
      </c>
      <c r="Q69" s="249"/>
      <c r="R69" s="16"/>
      <c r="S69" s="71" t="s">
        <v>135</v>
      </c>
      <c r="T69" s="16"/>
      <c r="U69" s="16"/>
      <c r="V69" s="16"/>
      <c r="W69" s="16"/>
      <c r="X69" s="16"/>
    </row>
    <row r="70" spans="1:24" ht="15.75" customHeight="1" thickBot="1" x14ac:dyDescent="0.3">
      <c r="A70" s="318"/>
      <c r="B70" s="16" t="s">
        <v>302</v>
      </c>
      <c r="C70" s="16"/>
      <c r="D70" s="16"/>
      <c r="E70" s="16"/>
      <c r="F70" s="16"/>
      <c r="G70" s="16"/>
      <c r="H70" s="279"/>
      <c r="I70" s="45"/>
      <c r="J70" s="45"/>
      <c r="K70" s="45"/>
      <c r="L70" s="71"/>
      <c r="M70" s="245"/>
      <c r="N70" s="154">
        <f>I70</f>
        <v>0</v>
      </c>
      <c r="O70" s="154">
        <f>J70</f>
        <v>0</v>
      </c>
      <c r="P70" s="154">
        <f>K70</f>
        <v>0</v>
      </c>
      <c r="Q70" s="248"/>
      <c r="R70" s="12" t="s">
        <v>28</v>
      </c>
      <c r="S70" s="71"/>
      <c r="T70" s="16"/>
      <c r="U70" s="16"/>
      <c r="V70" s="16"/>
      <c r="W70" s="16"/>
      <c r="X70" s="16"/>
    </row>
    <row r="71" spans="1:24" ht="15.75" customHeight="1" thickBot="1" x14ac:dyDescent="0.3">
      <c r="A71" s="318"/>
      <c r="B71" s="23" t="s">
        <v>410</v>
      </c>
      <c r="C71" s="23"/>
      <c r="D71" s="16"/>
      <c r="E71" s="16"/>
      <c r="F71" s="16"/>
      <c r="G71" s="16"/>
      <c r="H71" s="279"/>
      <c r="I71" s="45"/>
      <c r="J71" s="45"/>
      <c r="K71" s="45"/>
      <c r="L71" s="71"/>
      <c r="M71" s="245"/>
      <c r="N71" s="45"/>
      <c r="O71" s="45"/>
      <c r="P71" s="45"/>
      <c r="Q71" s="248"/>
      <c r="R71" s="12" t="s">
        <v>28</v>
      </c>
      <c r="S71" s="71"/>
      <c r="T71" s="16"/>
      <c r="U71" s="16"/>
      <c r="V71" s="16"/>
      <c r="W71" s="16"/>
      <c r="X71" s="16"/>
    </row>
    <row r="72" spans="1:24" ht="15.75" customHeight="1" thickBot="1" x14ac:dyDescent="0.3">
      <c r="A72" s="318"/>
      <c r="B72" s="406" t="s">
        <v>411</v>
      </c>
      <c r="C72" s="406"/>
      <c r="D72" s="406"/>
      <c r="E72" s="406"/>
      <c r="F72" s="406"/>
      <c r="G72" s="300"/>
      <c r="H72" s="279"/>
      <c r="I72" s="110" t="str">
        <f>IF(OR((I71-I70)&lt;-300,(I71-I70)&gt;100)=TRUE,"No","Yes")</f>
        <v>Yes</v>
      </c>
      <c r="J72" s="110" t="str">
        <f>IF(OR((J71-J70)&lt;-300,(J71-J70)&gt;100)=TRUE,"No","Yes")</f>
        <v>Yes</v>
      </c>
      <c r="K72" s="110" t="str">
        <f>IF(OR((K71-K70)&lt;-300,(K71-K70)&gt;100)=TRUE,"No","Yes")</f>
        <v>Yes</v>
      </c>
      <c r="L72" s="71"/>
      <c r="M72" s="245"/>
      <c r="N72" s="110" t="str">
        <f>IF(OR((N71-N70)&lt;-300,(N71-N70)&gt;100)=TRUE,"No","Yes")</f>
        <v>Yes</v>
      </c>
      <c r="O72" s="110" t="str">
        <f>IF(OR((O71-O70)&lt;-300,(O71-O70)&gt;100)=TRUE,"No","Yes")</f>
        <v>Yes</v>
      </c>
      <c r="P72" s="110" t="str">
        <f>IF(OR((P71-P70)&lt;-300,(P71-P70)&gt;100)=TRUE,"No","Yes")</f>
        <v>Yes</v>
      </c>
      <c r="Q72" s="34"/>
      <c r="R72" s="12"/>
      <c r="S72" s="71"/>
      <c r="T72" s="16"/>
      <c r="U72" s="16"/>
      <c r="V72" s="16"/>
      <c r="W72" s="16"/>
      <c r="X72" s="16"/>
    </row>
    <row r="73" spans="1:24" ht="15.75" customHeight="1" x14ac:dyDescent="0.25">
      <c r="A73" s="318"/>
      <c r="B73" s="41"/>
      <c r="C73" s="41"/>
      <c r="D73" s="41"/>
      <c r="E73" s="41"/>
      <c r="F73" s="41"/>
      <c r="G73" s="41"/>
      <c r="H73" s="162"/>
      <c r="I73" s="167"/>
      <c r="J73" s="167"/>
      <c r="K73" s="12"/>
      <c r="L73" s="71"/>
      <c r="M73" s="245"/>
      <c r="N73" s="167"/>
      <c r="O73" s="167"/>
      <c r="P73" s="167"/>
      <c r="Q73" s="34"/>
      <c r="R73" s="12"/>
      <c r="S73" s="71"/>
      <c r="T73" s="16"/>
      <c r="U73" s="16"/>
      <c r="V73" s="16"/>
      <c r="W73" s="16"/>
      <c r="X73" s="16"/>
    </row>
    <row r="74" spans="1:24" ht="15.75" customHeight="1" thickBot="1" x14ac:dyDescent="0.3">
      <c r="A74" s="318"/>
      <c r="B74" s="87" t="s">
        <v>412</v>
      </c>
      <c r="C74" s="87"/>
      <c r="D74" s="87"/>
      <c r="E74" s="87"/>
      <c r="F74" s="87"/>
      <c r="G74" s="87"/>
      <c r="H74" s="279"/>
      <c r="I74" s="66" t="s">
        <v>305</v>
      </c>
      <c r="J74" s="66" t="s">
        <v>306</v>
      </c>
      <c r="K74" s="66" t="s">
        <v>307</v>
      </c>
      <c r="L74" s="71"/>
      <c r="M74" s="245"/>
      <c r="N74" s="66" t="s">
        <v>305</v>
      </c>
      <c r="O74" s="66" t="s">
        <v>306</v>
      </c>
      <c r="P74" s="66" t="s">
        <v>307</v>
      </c>
      <c r="Q74" s="249"/>
      <c r="R74" s="16"/>
      <c r="S74" s="71" t="s">
        <v>120</v>
      </c>
      <c r="T74" s="16"/>
      <c r="U74" s="16"/>
      <c r="V74" s="16"/>
      <c r="W74" s="16"/>
      <c r="X74" s="16"/>
    </row>
    <row r="75" spans="1:24" ht="15.75" customHeight="1" thickBot="1" x14ac:dyDescent="0.3">
      <c r="A75" s="318"/>
      <c r="B75" s="16" t="s">
        <v>302</v>
      </c>
      <c r="C75" s="16"/>
      <c r="D75" s="16"/>
      <c r="E75" s="16"/>
      <c r="F75" s="16"/>
      <c r="G75" s="16"/>
      <c r="H75" s="279"/>
      <c r="I75" s="45"/>
      <c r="J75" s="45"/>
      <c r="K75" s="45"/>
      <c r="L75" s="71"/>
      <c r="M75" s="245"/>
      <c r="N75" s="154">
        <f>I75</f>
        <v>0</v>
      </c>
      <c r="O75" s="154">
        <f>J75</f>
        <v>0</v>
      </c>
      <c r="P75" s="154">
        <f>K75</f>
        <v>0</v>
      </c>
      <c r="Q75" s="248"/>
      <c r="R75" s="12" t="s">
        <v>28</v>
      </c>
      <c r="S75" s="71"/>
      <c r="T75" s="16"/>
      <c r="U75" s="16"/>
      <c r="V75" s="16"/>
      <c r="W75" s="16"/>
      <c r="X75" s="16"/>
    </row>
    <row r="76" spans="1:24" ht="15.75" customHeight="1" thickBot="1" x14ac:dyDescent="0.3">
      <c r="A76" s="318"/>
      <c r="B76" s="23" t="s">
        <v>410</v>
      </c>
      <c r="C76" s="23"/>
      <c r="D76" s="16"/>
      <c r="E76" s="16"/>
      <c r="F76" s="16"/>
      <c r="G76" s="16"/>
      <c r="H76" s="279"/>
      <c r="I76" s="45"/>
      <c r="J76" s="45"/>
      <c r="K76" s="45"/>
      <c r="L76" s="71"/>
      <c r="M76" s="245"/>
      <c r="N76" s="45"/>
      <c r="O76" s="45"/>
      <c r="P76" s="45"/>
      <c r="Q76" s="248"/>
      <c r="R76" s="12" t="s">
        <v>28</v>
      </c>
      <c r="S76" s="71"/>
      <c r="T76" s="16"/>
      <c r="U76" s="16"/>
      <c r="V76" s="16"/>
      <c r="W76" s="16"/>
      <c r="X76" s="16"/>
    </row>
    <row r="77" spans="1:24" ht="15.75" customHeight="1" thickBot="1" x14ac:dyDescent="0.3">
      <c r="A77" s="318"/>
      <c r="B77" s="406" t="s">
        <v>430</v>
      </c>
      <c r="C77" s="406"/>
      <c r="D77" s="406"/>
      <c r="E77" s="406"/>
      <c r="F77" s="406"/>
      <c r="G77" s="300"/>
      <c r="H77" s="279"/>
      <c r="I77" s="110" t="str">
        <f>IF(I76&lt;=500,IF(OR((I76-I75)&lt;-60,(I76-I75)&gt;15)=TRUE,"No","Yes"),IF(OR((I76-I75)/I75&lt;-12%,(I76-I75)/I75&gt;3%)=TRUE,"No","Yes"))</f>
        <v>Yes</v>
      </c>
      <c r="J77" s="110" t="str">
        <f>IF(J76&lt;=500,IF(OR((J76-J75)&lt;-60,(J76-J75)&gt;15)=TRUE,"No","Yes"),IF(OR((J76-J75)/J75&lt;-12%,(J76-J75)/J75&gt;3%)=TRUE,"No","Yes"))</f>
        <v>Yes</v>
      </c>
      <c r="K77" s="110" t="str">
        <f>IF(K76&lt;=500,IF(OR((K76-K75)&lt;-60,(K76-K75)&gt;15)=TRUE,"No","Yes"),IF(OR((K76-K75)/K75&lt;-12%,(K76-K75)/K75&gt;3%)=TRUE,"No","Yes"))</f>
        <v>Yes</v>
      </c>
      <c r="L77" s="71"/>
      <c r="M77" s="245"/>
      <c r="N77" s="110" t="str">
        <f>IF(N76&lt;=500,IF(OR((N76-N75)&lt;-60,(N76-N75)&gt;15)=TRUE,"No","Yes"),IF(OR((N76-N75)/N75&lt;-12%,(N76-N75)/N75&gt;3%)=TRUE,"No","Yes"))</f>
        <v>Yes</v>
      </c>
      <c r="O77" s="110" t="str">
        <f>IF(O76&lt;=500,IF(OR((O76-O75)&lt;-60,(O76-O75)&gt;15)=TRUE,"No","Yes"),IF(OR((O76-O75)/O75&lt;-12%,(O76-O75)/O75&gt;3%)=TRUE,"No","Yes"))</f>
        <v>Yes</v>
      </c>
      <c r="P77" s="110" t="str">
        <f>IF(P76&lt;=500,IF(OR((P76-P75)&lt;-60,(P76-P75)&gt;15)=TRUE,"No","Yes"),IF(OR((P76-P75)/P75&lt;-12%,(P76-P75)/P75&gt;3%)=TRUE,"No","Yes"))</f>
        <v>Yes</v>
      </c>
      <c r="Q77" s="250"/>
      <c r="R77" s="12"/>
      <c r="S77" s="71"/>
      <c r="T77" s="16"/>
      <c r="U77" s="16"/>
      <c r="V77" s="16"/>
      <c r="W77" s="16"/>
      <c r="X77" s="16"/>
    </row>
    <row r="78" spans="1:24" ht="15.75" customHeight="1" x14ac:dyDescent="0.25">
      <c r="A78" s="318"/>
      <c r="B78" s="406"/>
      <c r="C78" s="406"/>
      <c r="D78" s="406"/>
      <c r="E78" s="406"/>
      <c r="F78" s="406"/>
      <c r="G78" s="300"/>
      <c r="H78" s="279"/>
      <c r="I78" s="16"/>
      <c r="J78" s="12"/>
      <c r="K78" s="12"/>
      <c r="L78" s="71"/>
      <c r="M78" s="245"/>
      <c r="N78" s="16"/>
      <c r="O78" s="16"/>
      <c r="P78" s="12"/>
      <c r="Q78" s="250"/>
      <c r="R78" s="12"/>
      <c r="S78" s="71"/>
      <c r="T78" s="16"/>
      <c r="U78" s="16"/>
      <c r="V78" s="16"/>
      <c r="W78" s="16"/>
      <c r="X78" s="16"/>
    </row>
    <row r="79" spans="1:24" ht="15.75" customHeight="1" x14ac:dyDescent="0.25">
      <c r="A79" s="318"/>
      <c r="B79" s="35"/>
      <c r="C79" s="35"/>
      <c r="D79" s="35"/>
      <c r="E79" s="35"/>
      <c r="F79" s="35"/>
      <c r="G79" s="35"/>
      <c r="H79" s="286"/>
      <c r="I79" s="23"/>
      <c r="J79" s="167"/>
      <c r="K79" s="12"/>
      <c r="L79" s="71"/>
      <c r="M79" s="245"/>
      <c r="N79" s="231"/>
      <c r="O79" s="23"/>
      <c r="P79" s="167"/>
      <c r="Q79" s="250"/>
      <c r="R79" s="12"/>
      <c r="S79" s="71"/>
      <c r="T79" s="16"/>
      <c r="U79" s="16"/>
      <c r="V79" s="16"/>
      <c r="W79" s="16"/>
      <c r="X79" s="16"/>
    </row>
    <row r="80" spans="1:24" ht="15.75" customHeight="1" thickBot="1" x14ac:dyDescent="0.3">
      <c r="A80" s="322"/>
      <c r="B80" s="87" t="s">
        <v>413</v>
      </c>
      <c r="C80" s="87"/>
      <c r="D80" s="16"/>
      <c r="E80" s="16"/>
      <c r="F80" s="16"/>
      <c r="G80" s="16"/>
      <c r="H80" s="279"/>
      <c r="I80" s="66" t="s">
        <v>305</v>
      </c>
      <c r="J80" s="66" t="s">
        <v>306</v>
      </c>
      <c r="K80" s="66" t="s">
        <v>307</v>
      </c>
      <c r="L80" s="71"/>
      <c r="M80" s="245"/>
      <c r="N80" s="66" t="s">
        <v>305</v>
      </c>
      <c r="O80" s="66" t="s">
        <v>306</v>
      </c>
      <c r="P80" s="66" t="s">
        <v>307</v>
      </c>
      <c r="Q80" s="248"/>
      <c r="R80" s="236"/>
      <c r="S80" s="71"/>
      <c r="T80" s="16"/>
      <c r="U80" s="16"/>
      <c r="V80" s="16"/>
      <c r="W80" s="16"/>
      <c r="X80" s="16"/>
    </row>
    <row r="81" spans="1:24" ht="15.75" customHeight="1" thickBot="1" x14ac:dyDescent="0.3">
      <c r="A81" s="322"/>
      <c r="B81" s="49" t="s">
        <v>414</v>
      </c>
      <c r="C81" s="49"/>
      <c r="D81" s="49"/>
      <c r="E81" s="49"/>
      <c r="F81" s="49"/>
      <c r="G81" s="49"/>
      <c r="H81" s="287"/>
      <c r="I81" s="44" t="s">
        <v>488</v>
      </c>
      <c r="J81" s="44" t="s">
        <v>488</v>
      </c>
      <c r="K81" s="44" t="s">
        <v>488</v>
      </c>
      <c r="L81" s="71"/>
      <c r="M81" s="245"/>
      <c r="N81" s="110" t="str">
        <f>I81</f>
        <v>N/A</v>
      </c>
      <c r="O81" s="110" t="str">
        <f>J81</f>
        <v>N/A</v>
      </c>
      <c r="P81" s="110" t="str">
        <f>K81</f>
        <v>N/A</v>
      </c>
      <c r="Q81" s="252"/>
      <c r="R81" s="236"/>
      <c r="S81" s="283" t="s">
        <v>399</v>
      </c>
      <c r="T81" s="16"/>
      <c r="U81" s="16"/>
      <c r="V81" s="16"/>
      <c r="W81" s="16"/>
      <c r="X81" s="16"/>
    </row>
    <row r="82" spans="1:24" ht="15.75" customHeight="1" thickBot="1" x14ac:dyDescent="0.3">
      <c r="A82" s="322"/>
      <c r="B82" s="49"/>
      <c r="C82" s="49"/>
      <c r="D82" s="49"/>
      <c r="E82" s="49"/>
      <c r="F82" s="49"/>
      <c r="G82" s="49"/>
      <c r="H82" s="287"/>
      <c r="I82" s="49"/>
      <c r="J82" s="16"/>
      <c r="K82"/>
      <c r="L82" s="71"/>
      <c r="M82" s="245"/>
      <c r="N82" s="299"/>
      <c r="O82" s="299"/>
      <c r="P82"/>
      <c r="Q82" s="252"/>
      <c r="R82" s="236"/>
      <c r="S82" s="283"/>
      <c r="T82" s="16"/>
      <c r="U82" s="16"/>
      <c r="V82" s="16"/>
      <c r="W82" s="16"/>
      <c r="X82" s="16"/>
    </row>
    <row r="83" spans="1:24" ht="15.75" customHeight="1" thickBot="1" x14ac:dyDescent="0.3">
      <c r="A83" s="322"/>
      <c r="B83" s="49" t="s">
        <v>415</v>
      </c>
      <c r="C83" s="49"/>
      <c r="D83" s="49"/>
      <c r="E83" s="49"/>
      <c r="F83" s="49"/>
      <c r="G83" s="49"/>
      <c r="H83" s="287"/>
      <c r="I83" s="49"/>
      <c r="J83" s="16"/>
      <c r="K83" s="44" t="s">
        <v>4</v>
      </c>
      <c r="L83" s="71"/>
      <c r="M83" s="245"/>
      <c r="N83" s="50"/>
      <c r="O83" s="50"/>
      <c r="P83" s="44" t="s">
        <v>4</v>
      </c>
      <c r="Q83" s="251"/>
      <c r="R83" s="236"/>
      <c r="S83" s="71" t="s">
        <v>121</v>
      </c>
      <c r="T83" s="16"/>
      <c r="U83" s="16"/>
      <c r="V83" s="16"/>
      <c r="W83" s="16"/>
      <c r="X83" s="16"/>
    </row>
    <row r="84" spans="1:24" ht="15.75" customHeight="1" thickBot="1" x14ac:dyDescent="0.3">
      <c r="A84" s="318"/>
      <c r="B84" s="299"/>
      <c r="C84" s="299"/>
      <c r="D84" s="299"/>
      <c r="E84" s="299"/>
      <c r="F84" s="299"/>
      <c r="G84" s="299"/>
      <c r="H84" s="298"/>
      <c r="I84" s="50"/>
      <c r="J84" s="16"/>
      <c r="K84"/>
      <c r="L84" s="230"/>
      <c r="M84" s="71"/>
      <c r="N84" s="299"/>
      <c r="O84" s="299"/>
      <c r="P84"/>
      <c r="Q84" s="252"/>
      <c r="R84" s="236"/>
      <c r="S84" s="283"/>
      <c r="T84" s="16"/>
      <c r="U84" s="16"/>
      <c r="V84" s="16"/>
      <c r="W84" s="16"/>
      <c r="X84" s="16"/>
    </row>
    <row r="85" spans="1:24" ht="15.75" customHeight="1" thickBot="1" x14ac:dyDescent="0.3">
      <c r="A85" s="346" t="s">
        <v>477</v>
      </c>
      <c r="B85" s="343"/>
      <c r="C85" s="343"/>
      <c r="D85" s="343"/>
      <c r="E85" s="343"/>
      <c r="F85" s="343"/>
      <c r="G85" s="343"/>
      <c r="H85" s="343"/>
      <c r="I85" s="343"/>
      <c r="J85" s="343"/>
      <c r="K85" s="343"/>
      <c r="L85" s="343"/>
      <c r="M85" s="343"/>
      <c r="N85" s="344" t="s">
        <v>461</v>
      </c>
      <c r="O85" s="345"/>
      <c r="P85" s="154" t="s">
        <v>4</v>
      </c>
      <c r="Q85" s="356"/>
      <c r="R85" s="236"/>
      <c r="S85" s="283"/>
      <c r="T85" s="16"/>
      <c r="U85" s="16"/>
      <c r="V85" s="16"/>
      <c r="W85" s="16"/>
      <c r="X85" s="16"/>
    </row>
    <row r="86" spans="1:24" ht="15.75" customHeight="1" thickBot="1" x14ac:dyDescent="0.3">
      <c r="A86" s="351"/>
      <c r="B86" s="352"/>
      <c r="C86" s="352"/>
      <c r="D86" s="352"/>
      <c r="E86" s="352"/>
      <c r="F86" s="352"/>
      <c r="G86" s="352"/>
      <c r="H86" s="352"/>
      <c r="I86" s="352"/>
      <c r="J86" s="352"/>
      <c r="K86" s="352"/>
      <c r="L86" s="352"/>
      <c r="M86" s="352"/>
      <c r="N86" s="353"/>
      <c r="O86" s="355" t="s">
        <v>490</v>
      </c>
      <c r="P86" s="154" t="str">
        <f>IF(P85="No","N/A",IF(ISBLANK(K96)+ISBLANK(P97)+ISBLANK(I102)+ISBLANK(N103)+ISBLANK(I107)+ISBLANK(N108)+ISBLANK(I112)+ISBLANK(N113)+ISBLANK(I128)+ISBLANK(I129)+ISBLANK(I139)+AND(I118="",I123="N/A")+AND(N119="",N124="")&gt;0,"No","Yes"))</f>
        <v>No</v>
      </c>
      <c r="Q86" s="354"/>
      <c r="R86" s="236"/>
      <c r="S86" s="283"/>
      <c r="T86" s="16"/>
      <c r="U86" s="16"/>
      <c r="V86" s="16"/>
      <c r="W86" s="16"/>
      <c r="X86" s="16"/>
    </row>
    <row r="87" spans="1:24" customFormat="1" ht="15.75" customHeight="1" x14ac:dyDescent="0.25">
      <c r="A87" s="322"/>
      <c r="B87" s="167"/>
      <c r="C87" s="167"/>
      <c r="D87" s="167"/>
      <c r="E87" s="167"/>
      <c r="F87" s="167"/>
      <c r="G87" s="167"/>
      <c r="H87" s="307"/>
      <c r="I87" s="402" t="s">
        <v>394</v>
      </c>
      <c r="J87" s="402"/>
      <c r="K87" s="402"/>
      <c r="L87" s="272"/>
      <c r="M87" s="273"/>
      <c r="N87" s="402" t="s">
        <v>395</v>
      </c>
      <c r="O87" s="402"/>
      <c r="P87" s="402"/>
      <c r="Q87" s="274"/>
      <c r="S87" s="73"/>
      <c r="T87" s="16"/>
      <c r="U87" s="16"/>
      <c r="V87" s="16"/>
      <c r="W87" s="16"/>
      <c r="X87" s="167"/>
    </row>
    <row r="88" spans="1:24" customFormat="1" ht="15.75" customHeight="1" thickBot="1" x14ac:dyDescent="0.3">
      <c r="A88" s="322"/>
      <c r="B88" s="87" t="s">
        <v>486</v>
      </c>
      <c r="C88" s="167"/>
      <c r="D88" s="167"/>
      <c r="E88" s="167"/>
      <c r="F88" s="167"/>
      <c r="G88" s="167"/>
      <c r="H88" s="312"/>
      <c r="I88" s="71"/>
      <c r="J88" s="71"/>
      <c r="K88" s="71"/>
      <c r="L88" s="71"/>
      <c r="M88" s="245"/>
      <c r="N88" s="71"/>
      <c r="O88" s="71"/>
      <c r="P88" s="71"/>
      <c r="Q88" s="341"/>
      <c r="S88" s="73"/>
      <c r="T88" s="16"/>
      <c r="U88" s="16"/>
      <c r="V88" s="16"/>
      <c r="W88" s="16"/>
      <c r="X88" s="167"/>
    </row>
    <row r="89" spans="1:24" customFormat="1" ht="15.75" customHeight="1" thickBot="1" x14ac:dyDescent="0.3">
      <c r="A89" s="322"/>
      <c r="B89" s="41" t="s">
        <v>487</v>
      </c>
      <c r="C89" s="167"/>
      <c r="D89" s="167"/>
      <c r="E89" s="167"/>
      <c r="F89" s="167"/>
      <c r="G89" s="167"/>
      <c r="H89" s="312"/>
      <c r="I89" s="71"/>
      <c r="J89" s="71"/>
      <c r="K89" s="44" t="s">
        <v>4</v>
      </c>
      <c r="L89" s="275"/>
      <c r="M89" s="254"/>
      <c r="N89" s="167"/>
      <c r="O89" s="167"/>
      <c r="P89" s="110" t="str">
        <f>K89</f>
        <v>Yes</v>
      </c>
      <c r="Q89" s="341"/>
      <c r="S89" s="342">
        <v>4.3</v>
      </c>
      <c r="T89" s="16"/>
      <c r="U89" s="16"/>
      <c r="V89" s="16"/>
      <c r="W89" s="16"/>
      <c r="X89" s="167"/>
    </row>
    <row r="90" spans="1:24" customFormat="1" ht="15.75" customHeight="1" x14ac:dyDescent="0.25">
      <c r="A90" s="322"/>
      <c r="B90" s="167"/>
      <c r="C90" s="167"/>
      <c r="D90" s="167"/>
      <c r="E90" s="167"/>
      <c r="F90" s="167"/>
      <c r="G90" s="167"/>
      <c r="H90" s="312"/>
      <c r="I90" s="71"/>
      <c r="J90" s="71"/>
      <c r="K90" s="71"/>
      <c r="L90" s="71"/>
      <c r="M90" s="245"/>
      <c r="N90" s="71"/>
      <c r="O90" s="71"/>
      <c r="P90" s="71"/>
      <c r="Q90" s="341"/>
      <c r="S90" s="73"/>
      <c r="T90" s="16"/>
      <c r="U90" s="16"/>
      <c r="V90" s="16"/>
      <c r="W90" s="16"/>
      <c r="X90" s="167"/>
    </row>
    <row r="91" spans="1:24" customFormat="1" ht="15.75" customHeight="1" thickBot="1" x14ac:dyDescent="0.3">
      <c r="A91" s="322"/>
      <c r="B91" s="87" t="s">
        <v>427</v>
      </c>
      <c r="C91" s="87"/>
      <c r="D91" s="167"/>
      <c r="E91" s="167"/>
      <c r="F91" s="167"/>
      <c r="G91" s="167"/>
      <c r="H91" s="162"/>
      <c r="I91" s="167"/>
      <c r="J91" s="167"/>
      <c r="K91" s="165"/>
      <c r="L91" s="167"/>
      <c r="M91" s="243"/>
      <c r="N91" s="167"/>
      <c r="O91" s="167"/>
      <c r="P91" s="165"/>
      <c r="Q91" s="163"/>
      <c r="S91" s="73"/>
      <c r="T91" s="16"/>
      <c r="U91" s="16"/>
      <c r="V91" s="16"/>
      <c r="W91" s="16"/>
      <c r="X91" s="167"/>
    </row>
    <row r="92" spans="1:24" ht="15.75" customHeight="1" thickBot="1" x14ac:dyDescent="0.3">
      <c r="A92" s="318"/>
      <c r="B92" s="41" t="s">
        <v>428</v>
      </c>
      <c r="C92" s="41"/>
      <c r="D92" s="41"/>
      <c r="E92" s="41"/>
      <c r="F92" s="41"/>
      <c r="G92" s="300"/>
      <c r="H92" s="293"/>
      <c r="I92" s="292"/>
      <c r="J92" s="16"/>
      <c r="K92" s="44" t="s">
        <v>4</v>
      </c>
      <c r="L92" s="275"/>
      <c r="M92" s="254"/>
      <c r="N92" s="167"/>
      <c r="O92" s="167"/>
      <c r="P92" s="110" t="str">
        <f>K92</f>
        <v>Yes</v>
      </c>
      <c r="Q92" s="163"/>
      <c r="R92" s="236"/>
      <c r="S92" s="283" t="s">
        <v>400</v>
      </c>
      <c r="T92" s="16"/>
      <c r="U92" s="16"/>
      <c r="V92" s="16"/>
      <c r="W92" s="16"/>
      <c r="X92" s="16"/>
    </row>
    <row r="93" spans="1:24" ht="15.75" customHeight="1" thickBot="1" x14ac:dyDescent="0.3">
      <c r="A93" s="318"/>
      <c r="B93" s="41" t="s">
        <v>429</v>
      </c>
      <c r="C93" s="41"/>
      <c r="D93" s="41"/>
      <c r="E93" s="41"/>
      <c r="F93" s="41"/>
      <c r="G93" s="300"/>
      <c r="H93" s="293"/>
      <c r="I93" s="292"/>
      <c r="J93" s="16"/>
      <c r="K93" s="44" t="s">
        <v>4</v>
      </c>
      <c r="L93" s="275"/>
      <c r="M93" s="254"/>
      <c r="N93" s="167"/>
      <c r="O93" s="167"/>
      <c r="P93" s="110" t="str">
        <f>K93</f>
        <v>Yes</v>
      </c>
      <c r="Q93" s="163"/>
      <c r="R93" s="236"/>
      <c r="S93" s="283" t="s">
        <v>401</v>
      </c>
      <c r="T93" s="16"/>
      <c r="U93" s="16"/>
      <c r="V93" s="16"/>
      <c r="W93" s="16"/>
      <c r="X93" s="16"/>
    </row>
    <row r="94" spans="1:24" ht="15.75" customHeight="1" x14ac:dyDescent="0.25">
      <c r="A94" s="318"/>
      <c r="B94" s="258"/>
      <c r="C94" s="258"/>
      <c r="D94" s="258"/>
      <c r="E94" s="258"/>
      <c r="F94" s="258"/>
      <c r="G94" s="258"/>
      <c r="H94" s="294"/>
      <c r="I94" s="258"/>
      <c r="J94" s="16"/>
      <c r="K94" s="167"/>
      <c r="L94" s="275"/>
      <c r="M94" s="254"/>
      <c r="N94" s="167"/>
      <c r="O94" s="167"/>
      <c r="P94" s="167"/>
      <c r="Q94" s="163"/>
      <c r="R94" s="236"/>
      <c r="S94" s="275"/>
      <c r="T94" s="16"/>
      <c r="U94" s="16"/>
      <c r="V94" s="16"/>
      <c r="W94" s="16"/>
      <c r="X94" s="16"/>
    </row>
    <row r="95" spans="1:24" ht="15.75" customHeight="1" thickBot="1" x14ac:dyDescent="0.3">
      <c r="A95" s="322"/>
      <c r="B95" s="87" t="s">
        <v>433</v>
      </c>
      <c r="C95" s="87"/>
      <c r="D95" s="16"/>
      <c r="E95" s="167"/>
      <c r="F95" s="167"/>
      <c r="G95" s="167"/>
      <c r="H95" s="162"/>
      <c r="I95" s="167"/>
      <c r="J95" s="16"/>
      <c r="K95" s="167"/>
      <c r="L95" s="71"/>
      <c r="M95" s="245"/>
      <c r="N95" s="167"/>
      <c r="O95" s="167"/>
      <c r="P95" s="167"/>
      <c r="Q95" s="163"/>
      <c r="R95" s="236"/>
      <c r="S95" s="71" t="s">
        <v>119</v>
      </c>
      <c r="T95" s="16"/>
      <c r="U95" s="16"/>
      <c r="V95" s="16"/>
      <c r="W95" s="16"/>
      <c r="X95" s="16"/>
    </row>
    <row r="96" spans="1:24" customFormat="1" ht="15.75" customHeight="1" thickBot="1" x14ac:dyDescent="0.3">
      <c r="A96" s="322"/>
      <c r="B96" s="23" t="s">
        <v>431</v>
      </c>
      <c r="C96" s="23"/>
      <c r="D96" s="16"/>
      <c r="E96" s="16"/>
      <c r="F96" s="16"/>
      <c r="G96" s="16"/>
      <c r="H96" s="279"/>
      <c r="I96" s="16"/>
      <c r="J96" s="16"/>
      <c r="K96" s="45"/>
      <c r="L96" s="71"/>
      <c r="M96" s="245"/>
      <c r="N96" s="16"/>
      <c r="O96" s="16"/>
      <c r="P96" s="154">
        <f>K96</f>
        <v>0</v>
      </c>
      <c r="Q96" s="248"/>
      <c r="R96" s="236"/>
      <c r="S96" s="71"/>
      <c r="T96" s="16"/>
      <c r="U96" s="16"/>
      <c r="V96" s="16"/>
      <c r="W96" s="16"/>
      <c r="X96" s="167"/>
    </row>
    <row r="97" spans="1:24" ht="15.75" customHeight="1" thickBot="1" x14ac:dyDescent="0.3">
      <c r="A97" s="322"/>
      <c r="B97" s="23" t="s">
        <v>432</v>
      </c>
      <c r="C97" s="23"/>
      <c r="D97" s="16"/>
      <c r="E97" s="16"/>
      <c r="F97" s="16"/>
      <c r="G97" s="16"/>
      <c r="H97" s="279"/>
      <c r="I97" s="16"/>
      <c r="J97" s="16"/>
      <c r="K97" s="45"/>
      <c r="L97" s="71"/>
      <c r="M97" s="245"/>
      <c r="N97" s="16"/>
      <c r="O97" s="16"/>
      <c r="P97" s="45"/>
      <c r="Q97" s="248"/>
      <c r="R97" s="236"/>
      <c r="S97" s="71"/>
      <c r="T97" s="16"/>
      <c r="U97" s="16"/>
      <c r="V97" s="16"/>
      <c r="W97" s="16"/>
      <c r="X97" s="16"/>
    </row>
    <row r="98" spans="1:24" ht="15.75" customHeight="1" thickBot="1" x14ac:dyDescent="0.3">
      <c r="A98" s="322"/>
      <c r="B98" s="23" t="s">
        <v>337</v>
      </c>
      <c r="C98" s="23"/>
      <c r="D98" s="16"/>
      <c r="E98" s="16"/>
      <c r="F98" s="16"/>
      <c r="G98" s="16"/>
      <c r="H98" s="279"/>
      <c r="I98" s="16"/>
      <c r="J98" s="16"/>
      <c r="K98" s="25">
        <f>K97+1</f>
        <v>1</v>
      </c>
      <c r="L98" s="71"/>
      <c r="M98" s="245"/>
      <c r="N98" s="16"/>
      <c r="O98" s="16"/>
      <c r="P98" s="25">
        <f>P97+1</f>
        <v>1</v>
      </c>
      <c r="Q98" s="248"/>
      <c r="R98" s="236"/>
      <c r="S98" s="71"/>
      <c r="T98" s="16"/>
      <c r="U98" s="16"/>
      <c r="V98" s="16"/>
      <c r="W98" s="16"/>
      <c r="X98" s="16"/>
    </row>
    <row r="99" spans="1:24" ht="15.75" customHeight="1" thickBot="1" x14ac:dyDescent="0.3">
      <c r="A99" s="322"/>
      <c r="B99" s="23" t="s">
        <v>436</v>
      </c>
      <c r="C99" s="23"/>
      <c r="D99" s="16"/>
      <c r="E99" s="16"/>
      <c r="F99" s="16"/>
      <c r="G99" s="16"/>
      <c r="H99" s="279"/>
      <c r="I99" s="23"/>
      <c r="J99" s="16"/>
      <c r="K99" s="2" t="str">
        <f>IF(ABS(K96-K98)&lt;=2,"Yes","No")</f>
        <v>Yes</v>
      </c>
      <c r="L99" s="71"/>
      <c r="M99" s="245"/>
      <c r="N99" s="16"/>
      <c r="O99" s="23"/>
      <c r="P99" s="2" t="str">
        <f>IF(ABS(P96-P98)&lt;=2,"Yes","No")</f>
        <v>Yes</v>
      </c>
      <c r="Q99" s="248"/>
      <c r="R99" s="236"/>
      <c r="S99" s="71"/>
      <c r="T99" s="16"/>
      <c r="U99" s="16"/>
      <c r="V99" s="16"/>
      <c r="W99" s="16"/>
      <c r="X99" s="16"/>
    </row>
    <row r="100" spans="1:24" ht="15.75" customHeight="1" x14ac:dyDescent="0.25">
      <c r="A100" s="322"/>
      <c r="B100" s="16"/>
      <c r="C100" s="16"/>
      <c r="D100" s="16"/>
      <c r="E100" s="16"/>
      <c r="F100" s="16"/>
      <c r="G100" s="16"/>
      <c r="H100" s="279"/>
      <c r="I100" s="16"/>
      <c r="J100" s="167"/>
      <c r="K100" s="12"/>
      <c r="L100" s="71"/>
      <c r="M100" s="245"/>
      <c r="N100" s="16"/>
      <c r="O100" s="16"/>
      <c r="P100" s="167"/>
      <c r="Q100" s="248"/>
      <c r="R100" s="12"/>
      <c r="S100" s="71"/>
      <c r="T100" s="16"/>
      <c r="U100" s="16"/>
      <c r="V100" s="16"/>
      <c r="W100" s="16"/>
      <c r="X100" s="16"/>
    </row>
    <row r="101" spans="1:24" ht="15.75" customHeight="1" thickBot="1" x14ac:dyDescent="0.3">
      <c r="A101" s="318"/>
      <c r="B101" s="87" t="s">
        <v>434</v>
      </c>
      <c r="C101" s="87"/>
      <c r="D101" s="87"/>
      <c r="E101" s="87"/>
      <c r="F101" s="87"/>
      <c r="G101" s="87"/>
      <c r="H101" s="279"/>
      <c r="I101" s="66" t="s">
        <v>305</v>
      </c>
      <c r="J101" s="66" t="s">
        <v>306</v>
      </c>
      <c r="K101" s="66" t="s">
        <v>307</v>
      </c>
      <c r="L101" s="71"/>
      <c r="M101" s="245"/>
      <c r="N101" s="66" t="s">
        <v>305</v>
      </c>
      <c r="O101" s="66" t="s">
        <v>306</v>
      </c>
      <c r="P101" s="66" t="s">
        <v>307</v>
      </c>
      <c r="Q101" s="249"/>
      <c r="R101" s="16"/>
      <c r="S101" s="71" t="s">
        <v>122</v>
      </c>
      <c r="T101" s="16"/>
      <c r="U101" s="16"/>
      <c r="V101" s="16"/>
      <c r="W101" s="16"/>
      <c r="X101" s="16"/>
    </row>
    <row r="102" spans="1:24" ht="15.75" customHeight="1" thickBot="1" x14ac:dyDescent="0.3">
      <c r="A102" s="318"/>
      <c r="B102" s="16" t="s">
        <v>304</v>
      </c>
      <c r="C102" s="16"/>
      <c r="D102" s="16"/>
      <c r="E102" s="16"/>
      <c r="F102" s="16"/>
      <c r="G102" s="16"/>
      <c r="H102" s="279"/>
      <c r="I102" s="46"/>
      <c r="J102" s="46"/>
      <c r="K102" s="46"/>
      <c r="L102" s="71"/>
      <c r="M102" s="245"/>
      <c r="N102" s="368">
        <f>I102</f>
        <v>0</v>
      </c>
      <c r="O102" s="368">
        <f>J102</f>
        <v>0</v>
      </c>
      <c r="P102" s="368">
        <f>K102</f>
        <v>0</v>
      </c>
      <c r="Q102" s="248"/>
      <c r="R102" s="12"/>
      <c r="S102" s="71"/>
      <c r="T102" s="16"/>
      <c r="U102" s="16"/>
      <c r="V102" s="16"/>
      <c r="W102" s="16"/>
      <c r="X102" s="16"/>
    </row>
    <row r="103" spans="1:24" ht="15.75" customHeight="1" thickBot="1" x14ac:dyDescent="0.3">
      <c r="A103" s="318"/>
      <c r="B103" s="23" t="s">
        <v>435</v>
      </c>
      <c r="C103" s="23"/>
      <c r="D103" s="16"/>
      <c r="E103" s="16"/>
      <c r="F103" s="16"/>
      <c r="G103" s="16"/>
      <c r="H103" s="279"/>
      <c r="I103" s="46"/>
      <c r="J103" s="46"/>
      <c r="K103" s="46"/>
      <c r="L103" s="71"/>
      <c r="M103" s="245"/>
      <c r="N103" s="46"/>
      <c r="O103" s="46"/>
      <c r="P103" s="46"/>
      <c r="Q103" s="248"/>
      <c r="R103" s="12"/>
      <c r="S103" s="71"/>
      <c r="T103" s="16"/>
      <c r="U103" s="16"/>
      <c r="V103" s="16"/>
      <c r="W103" s="16"/>
      <c r="X103" s="16"/>
    </row>
    <row r="104" spans="1:24" ht="15.75" customHeight="1" thickBot="1" x14ac:dyDescent="0.3">
      <c r="A104" s="318"/>
      <c r="B104" s="237" t="s">
        <v>437</v>
      </c>
      <c r="C104" s="237"/>
      <c r="D104" s="237"/>
      <c r="E104" s="237"/>
      <c r="F104" s="237"/>
      <c r="G104" s="237"/>
      <c r="H104" s="279"/>
      <c r="I104" s="110" t="str">
        <f>IF(ABS(I103-I102)&gt;0.1,"No","Yes")</f>
        <v>Yes</v>
      </c>
      <c r="J104" s="110" t="str">
        <f>IF(ABS(J103-J102)&gt;0.1,"No","Yes")</f>
        <v>Yes</v>
      </c>
      <c r="K104" s="110" t="str">
        <f>IF(ABS(K103-K102)&gt;0.1,"No","Yes")</f>
        <v>Yes</v>
      </c>
      <c r="L104" s="71"/>
      <c r="M104" s="245"/>
      <c r="N104" s="110" t="str">
        <f>IF(ABS(N103-N102)&gt;0.1,"No","Yes")</f>
        <v>Yes</v>
      </c>
      <c r="O104" s="110" t="str">
        <f>IF(ABS(O103-O102)&gt;0.1,"No","Yes")</f>
        <v>Yes</v>
      </c>
      <c r="P104" s="110" t="str">
        <f>IF(ABS(P103-P102)&gt;0.1,"No","Yes")</f>
        <v>Yes</v>
      </c>
      <c r="Q104" s="280"/>
      <c r="R104" s="12"/>
      <c r="S104" s="71"/>
      <c r="T104" s="16"/>
      <c r="U104" s="16"/>
      <c r="V104" s="16"/>
      <c r="W104" s="16"/>
      <c r="X104" s="16"/>
    </row>
    <row r="105" spans="1:24" ht="15.75" customHeight="1" x14ac:dyDescent="0.25">
      <c r="A105" s="318"/>
      <c r="B105" s="237"/>
      <c r="C105" s="237"/>
      <c r="D105" s="237"/>
      <c r="E105" s="237"/>
      <c r="F105" s="237"/>
      <c r="G105" s="237"/>
      <c r="H105" s="279"/>
      <c r="I105" s="16"/>
      <c r="J105" s="16"/>
      <c r="K105" s="12"/>
      <c r="L105" s="71"/>
      <c r="M105" s="245"/>
      <c r="N105" s="16"/>
      <c r="O105" s="16"/>
      <c r="P105" s="12"/>
      <c r="Q105" s="280"/>
      <c r="R105" s="12"/>
      <c r="S105" s="71"/>
      <c r="T105" s="16"/>
      <c r="U105" s="16"/>
      <c r="V105" s="16"/>
      <c r="W105" s="16"/>
      <c r="X105" s="16"/>
    </row>
    <row r="106" spans="1:24" ht="15.75" customHeight="1" thickBot="1" x14ac:dyDescent="0.3">
      <c r="A106" s="318"/>
      <c r="B106" s="87" t="s">
        <v>438</v>
      </c>
      <c r="C106" s="87"/>
      <c r="D106" s="87"/>
      <c r="E106" s="87"/>
      <c r="F106" s="87"/>
      <c r="G106" s="87"/>
      <c r="H106" s="279"/>
      <c r="I106" s="66" t="s">
        <v>305</v>
      </c>
      <c r="J106" s="66" t="s">
        <v>306</v>
      </c>
      <c r="K106" s="66" t="s">
        <v>307</v>
      </c>
      <c r="L106" s="71"/>
      <c r="M106" s="245"/>
      <c r="N106" s="66" t="s">
        <v>305</v>
      </c>
      <c r="O106" s="66" t="s">
        <v>306</v>
      </c>
      <c r="P106" s="66" t="s">
        <v>307</v>
      </c>
      <c r="Q106" s="249"/>
      <c r="R106" s="16"/>
      <c r="S106" s="71" t="s">
        <v>136</v>
      </c>
      <c r="T106" s="16"/>
      <c r="U106" s="16"/>
      <c r="V106" s="16"/>
      <c r="W106" s="16"/>
      <c r="X106" s="16"/>
    </row>
    <row r="107" spans="1:24" ht="15.75" customHeight="1" thickBot="1" x14ac:dyDescent="0.3">
      <c r="A107" s="318"/>
      <c r="B107" s="16" t="s">
        <v>308</v>
      </c>
      <c r="C107" s="16"/>
      <c r="D107" s="16"/>
      <c r="E107" s="16"/>
      <c r="F107" s="16"/>
      <c r="G107" s="16"/>
      <c r="H107" s="279"/>
      <c r="I107" s="45"/>
      <c r="J107" s="45"/>
      <c r="K107" s="45"/>
      <c r="L107" s="71"/>
      <c r="M107" s="245"/>
      <c r="N107" s="154">
        <f>I107</f>
        <v>0</v>
      </c>
      <c r="O107" s="154">
        <f>J107</f>
        <v>0</v>
      </c>
      <c r="P107" s="154">
        <f>K107</f>
        <v>0</v>
      </c>
      <c r="Q107" s="248"/>
      <c r="R107" s="12"/>
      <c r="S107" s="71"/>
      <c r="T107" s="16"/>
      <c r="U107" s="16"/>
      <c r="V107" s="16"/>
      <c r="W107" s="16"/>
      <c r="X107" s="16"/>
    </row>
    <row r="108" spans="1:24" ht="15.75" customHeight="1" thickBot="1" x14ac:dyDescent="0.3">
      <c r="A108" s="318"/>
      <c r="B108" s="23" t="s">
        <v>439</v>
      </c>
      <c r="C108" s="23"/>
      <c r="D108" s="16"/>
      <c r="E108" s="16"/>
      <c r="F108" s="16"/>
      <c r="G108" s="16"/>
      <c r="H108" s="279"/>
      <c r="I108" s="45"/>
      <c r="J108" s="45"/>
      <c r="K108" s="45"/>
      <c r="L108" s="71"/>
      <c r="M108" s="245"/>
      <c r="N108" s="45"/>
      <c r="O108" s="45"/>
      <c r="P108" s="45"/>
      <c r="Q108" s="248"/>
      <c r="R108" s="12"/>
      <c r="S108" s="71"/>
      <c r="T108" s="16"/>
      <c r="U108" s="16"/>
      <c r="V108" s="16"/>
      <c r="W108" s="16"/>
      <c r="X108" s="16"/>
    </row>
    <row r="109" spans="1:24" ht="15.75" customHeight="1" thickBot="1" x14ac:dyDescent="0.3">
      <c r="A109" s="318"/>
      <c r="B109" s="237" t="s">
        <v>440</v>
      </c>
      <c r="C109" s="237"/>
      <c r="D109" s="237"/>
      <c r="E109" s="237"/>
      <c r="F109" s="237"/>
      <c r="G109" s="237"/>
      <c r="H109" s="279"/>
      <c r="I109" s="110" t="str">
        <f>IF(ABS(I108-I107)&gt;2,"No","Yes")</f>
        <v>Yes</v>
      </c>
      <c r="J109" s="110" t="str">
        <f>IF(ABS(J108-J107)&gt;2,"No","Yes")</f>
        <v>Yes</v>
      </c>
      <c r="K109" s="110" t="str">
        <f>IF(ABS(K108-K107)&gt;2,"No","Yes")</f>
        <v>Yes</v>
      </c>
      <c r="L109" s="71"/>
      <c r="M109" s="245"/>
      <c r="N109" s="110" t="str">
        <f>IF(ABS(N108-N107)&gt;2,"No","Yes")</f>
        <v>Yes</v>
      </c>
      <c r="O109" s="110" t="str">
        <f>IF(ABS(O108-O107)&gt;2,"No","Yes")</f>
        <v>Yes</v>
      </c>
      <c r="P109" s="110" t="str">
        <f>IF(ABS(P108-P107)&gt;2,"No","Yes")</f>
        <v>Yes</v>
      </c>
      <c r="Q109" s="280"/>
      <c r="R109" s="12"/>
      <c r="S109" s="71"/>
      <c r="T109" s="16"/>
      <c r="U109" s="16"/>
      <c r="V109" s="16"/>
      <c r="W109" s="16"/>
      <c r="X109" s="16"/>
    </row>
    <row r="110" spans="1:24" ht="15.75" customHeight="1" x14ac:dyDescent="0.25">
      <c r="A110" s="318"/>
      <c r="B110" s="237"/>
      <c r="C110" s="237"/>
      <c r="D110" s="237"/>
      <c r="E110" s="237"/>
      <c r="F110" s="237"/>
      <c r="G110" s="237"/>
      <c r="H110" s="279"/>
      <c r="I110" s="231"/>
      <c r="J110" s="23"/>
      <c r="K110" s="167"/>
      <c r="L110" s="71"/>
      <c r="M110" s="245"/>
      <c r="N110" s="231"/>
      <c r="O110" s="23"/>
      <c r="P110" s="167"/>
      <c r="Q110" s="280"/>
      <c r="R110" s="12"/>
      <c r="S110" s="71"/>
      <c r="T110" s="16"/>
      <c r="U110" s="16"/>
      <c r="V110" s="16"/>
      <c r="W110" s="16"/>
      <c r="X110" s="16"/>
    </row>
    <row r="111" spans="1:24" ht="15.75" customHeight="1" thickBot="1" x14ac:dyDescent="0.3">
      <c r="A111" s="318"/>
      <c r="B111" s="87" t="s">
        <v>441</v>
      </c>
      <c r="C111" s="87"/>
      <c r="D111" s="87"/>
      <c r="E111" s="87"/>
      <c r="F111" s="87"/>
      <c r="G111" s="87"/>
      <c r="H111" s="279"/>
      <c r="I111" s="66" t="s">
        <v>305</v>
      </c>
      <c r="J111" s="66" t="s">
        <v>306</v>
      </c>
      <c r="K111" s="66" t="s">
        <v>307</v>
      </c>
      <c r="L111" s="71"/>
      <c r="M111" s="245"/>
      <c r="N111" s="66" t="s">
        <v>305</v>
      </c>
      <c r="O111" s="66" t="s">
        <v>306</v>
      </c>
      <c r="P111" s="66" t="s">
        <v>307</v>
      </c>
      <c r="Q111" s="249"/>
      <c r="R111" s="16"/>
      <c r="S111" s="71" t="s">
        <v>137</v>
      </c>
      <c r="T111" s="16"/>
      <c r="U111" s="16"/>
      <c r="V111" s="16"/>
      <c r="W111" s="16"/>
      <c r="X111" s="16"/>
    </row>
    <row r="112" spans="1:24" ht="15.75" customHeight="1" thickBot="1" x14ac:dyDescent="0.3">
      <c r="A112" s="318"/>
      <c r="B112" s="16" t="s">
        <v>309</v>
      </c>
      <c r="C112" s="16"/>
      <c r="D112" s="16"/>
      <c r="E112" s="16"/>
      <c r="F112" s="16"/>
      <c r="G112" s="16"/>
      <c r="H112" s="279"/>
      <c r="I112" s="45"/>
      <c r="J112" s="45"/>
      <c r="K112" s="45"/>
      <c r="L112" s="71"/>
      <c r="M112" s="245"/>
      <c r="N112" s="154">
        <f>I112</f>
        <v>0</v>
      </c>
      <c r="O112" s="154">
        <f>J112</f>
        <v>0</v>
      </c>
      <c r="P112" s="154">
        <f>K112</f>
        <v>0</v>
      </c>
      <c r="Q112" s="248"/>
      <c r="R112" s="12"/>
      <c r="S112" s="71"/>
      <c r="T112" s="16"/>
      <c r="U112" s="16"/>
      <c r="V112" s="16"/>
      <c r="W112" s="16"/>
      <c r="X112" s="16"/>
    </row>
    <row r="113" spans="1:24" ht="15.75" customHeight="1" thickBot="1" x14ac:dyDescent="0.3">
      <c r="A113" s="318"/>
      <c r="B113" s="23" t="s">
        <v>442</v>
      </c>
      <c r="C113" s="23"/>
      <c r="D113" s="16"/>
      <c r="E113" s="16"/>
      <c r="F113" s="16"/>
      <c r="G113" s="16"/>
      <c r="H113" s="279"/>
      <c r="I113" s="45"/>
      <c r="J113" s="45"/>
      <c r="K113" s="45"/>
      <c r="L113" s="71"/>
      <c r="M113" s="245"/>
      <c r="N113" s="45"/>
      <c r="O113" s="45"/>
      <c r="P113" s="45"/>
      <c r="Q113" s="248"/>
      <c r="R113" s="12"/>
      <c r="S113" s="71"/>
      <c r="T113" s="16"/>
      <c r="U113" s="16"/>
      <c r="V113" s="16"/>
      <c r="W113" s="16"/>
      <c r="X113" s="16"/>
    </row>
    <row r="114" spans="1:24" ht="15.75" customHeight="1" thickBot="1" x14ac:dyDescent="0.3">
      <c r="A114" s="318"/>
      <c r="B114" s="237" t="s">
        <v>443</v>
      </c>
      <c r="C114" s="237"/>
      <c r="D114" s="237"/>
      <c r="E114" s="237"/>
      <c r="F114" s="237"/>
      <c r="G114" s="237"/>
      <c r="H114" s="279"/>
      <c r="I114" s="110" t="str">
        <f>IF(ABS(I113-I112)&gt;4,"No","Yes")</f>
        <v>Yes</v>
      </c>
      <c r="J114" s="110" t="str">
        <f>IF(ABS(J113-J112)&gt;4,"No","Yes")</f>
        <v>Yes</v>
      </c>
      <c r="K114" s="110" t="str">
        <f>IF(ABS(K113-K112)&gt;4,"No","Yes")</f>
        <v>Yes</v>
      </c>
      <c r="L114" s="71"/>
      <c r="M114" s="245"/>
      <c r="N114" s="110" t="str">
        <f>IF(ABS(N113-N112)&gt;4,"No","Yes")</f>
        <v>Yes</v>
      </c>
      <c r="O114" s="110" t="str">
        <f>IF(ABS(O113-O112)&gt;4,"No","Yes")</f>
        <v>Yes</v>
      </c>
      <c r="P114" s="110" t="str">
        <f>IF(ABS(P113-P112)&gt;4,"No","Yes")</f>
        <v>Yes</v>
      </c>
      <c r="Q114" s="280"/>
      <c r="R114" s="12"/>
      <c r="S114" s="71"/>
      <c r="T114" s="16"/>
      <c r="U114" s="16"/>
      <c r="V114" s="16"/>
      <c r="W114" s="16"/>
      <c r="X114" s="16"/>
    </row>
    <row r="115" spans="1:24" ht="15.75" customHeight="1" x14ac:dyDescent="0.25">
      <c r="A115" s="318"/>
      <c r="B115" s="259"/>
      <c r="C115" s="259"/>
      <c r="D115" s="259"/>
      <c r="E115" s="259"/>
      <c r="F115" s="259"/>
      <c r="G115" s="259"/>
      <c r="H115" s="279"/>
      <c r="I115" s="231"/>
      <c r="J115" s="23"/>
      <c r="K115" s="167"/>
      <c r="L115" s="71"/>
      <c r="M115" s="245"/>
      <c r="N115" s="231"/>
      <c r="O115" s="23"/>
      <c r="P115" s="167"/>
      <c r="Q115" s="281"/>
      <c r="R115" s="12"/>
      <c r="S115" s="71"/>
      <c r="T115" s="16"/>
      <c r="U115" s="16"/>
      <c r="V115" s="16"/>
      <c r="W115" s="16"/>
      <c r="X115" s="16"/>
    </row>
    <row r="116" spans="1:24" ht="15.75" customHeight="1" x14ac:dyDescent="0.25">
      <c r="A116" s="318"/>
      <c r="B116" s="87" t="s">
        <v>444</v>
      </c>
      <c r="C116" s="87"/>
      <c r="D116" s="87"/>
      <c r="E116" s="87"/>
      <c r="F116" s="87"/>
      <c r="G116" s="87"/>
      <c r="H116" s="279"/>
      <c r="I116" s="66"/>
      <c r="J116" s="66"/>
      <c r="K116" s="66"/>
      <c r="L116" s="71"/>
      <c r="M116" s="245"/>
      <c r="N116" s="66"/>
      <c r="O116" s="66"/>
      <c r="P116" s="66"/>
      <c r="Q116" s="249"/>
      <c r="R116" s="16"/>
      <c r="S116" s="71" t="s">
        <v>139</v>
      </c>
      <c r="T116" s="16"/>
      <c r="U116" s="16"/>
      <c r="V116" s="16"/>
      <c r="W116" s="16"/>
      <c r="X116" s="16"/>
    </row>
    <row r="117" spans="1:24" ht="15.75" customHeight="1" thickBot="1" x14ac:dyDescent="0.3">
      <c r="A117" s="318"/>
      <c r="B117" s="87" t="s">
        <v>311</v>
      </c>
      <c r="C117" s="87"/>
      <c r="D117" s="87"/>
      <c r="E117" s="87"/>
      <c r="F117" s="87"/>
      <c r="G117" s="87"/>
      <c r="H117" s="279"/>
      <c r="I117" s="66" t="s">
        <v>305</v>
      </c>
      <c r="J117" s="66" t="s">
        <v>306</v>
      </c>
      <c r="K117" s="66" t="s">
        <v>307</v>
      </c>
      <c r="L117" s="71"/>
      <c r="M117" s="245"/>
      <c r="N117" s="66" t="s">
        <v>305</v>
      </c>
      <c r="O117" s="66" t="s">
        <v>306</v>
      </c>
      <c r="P117" s="66" t="s">
        <v>307</v>
      </c>
      <c r="Q117" s="249"/>
      <c r="R117" s="23"/>
      <c r="S117" s="71"/>
      <c r="T117" s="16"/>
      <c r="U117" s="16"/>
      <c r="V117" s="16"/>
      <c r="W117" s="16"/>
      <c r="X117" s="16"/>
    </row>
    <row r="118" spans="1:24" ht="15.75" customHeight="1" thickBot="1" x14ac:dyDescent="0.3">
      <c r="A118" s="318"/>
      <c r="B118" s="16" t="s">
        <v>446</v>
      </c>
      <c r="C118" s="16"/>
      <c r="D118" s="16"/>
      <c r="E118" s="16"/>
      <c r="F118" s="16"/>
      <c r="G118" s="16"/>
      <c r="H118" s="279"/>
      <c r="I118" s="88"/>
      <c r="J118" s="88"/>
      <c r="K118" s="88"/>
      <c r="L118" s="71"/>
      <c r="M118" s="245"/>
      <c r="N118" s="367">
        <f>I118</f>
        <v>0</v>
      </c>
      <c r="O118" s="367">
        <f>J118</f>
        <v>0</v>
      </c>
      <c r="P118" s="367">
        <f>K118</f>
        <v>0</v>
      </c>
      <c r="Q118" s="248"/>
      <c r="R118" s="71" t="s">
        <v>138</v>
      </c>
      <c r="S118" s="71"/>
      <c r="T118" s="16"/>
      <c r="U118" s="16"/>
      <c r="V118" s="16"/>
      <c r="W118" s="16"/>
      <c r="X118" s="16"/>
    </row>
    <row r="119" spans="1:24" ht="15.75" customHeight="1" thickBot="1" x14ac:dyDescent="0.3">
      <c r="A119" s="318"/>
      <c r="B119" s="23" t="s">
        <v>445</v>
      </c>
      <c r="C119" s="23"/>
      <c r="D119" s="16"/>
      <c r="E119" s="16"/>
      <c r="F119" s="16"/>
      <c r="G119" s="16"/>
      <c r="H119" s="279"/>
      <c r="I119" s="88"/>
      <c r="J119" s="88"/>
      <c r="K119" s="88"/>
      <c r="L119" s="71"/>
      <c r="M119" s="245"/>
      <c r="N119" s="88"/>
      <c r="O119" s="88"/>
      <c r="P119" s="88"/>
      <c r="Q119" s="248"/>
      <c r="R119" s="71" t="s">
        <v>138</v>
      </c>
      <c r="S119" s="71"/>
      <c r="T119" s="16"/>
      <c r="U119" s="16"/>
      <c r="V119" s="16"/>
      <c r="W119" s="16"/>
      <c r="X119" s="16"/>
    </row>
    <row r="120" spans="1:24" ht="15.75" customHeight="1" thickBot="1" x14ac:dyDescent="0.3">
      <c r="A120" s="318"/>
      <c r="B120" s="237" t="s">
        <v>447</v>
      </c>
      <c r="C120" s="237"/>
      <c r="D120" s="237"/>
      <c r="E120" s="237"/>
      <c r="F120" s="237"/>
      <c r="G120" s="237"/>
      <c r="H120" s="279"/>
      <c r="I120" s="110" t="str">
        <f>IF(ABS(I119-I118)&gt;2,"No","Yes")</f>
        <v>Yes</v>
      </c>
      <c r="J120" s="110" t="str">
        <f>IF(ABS(J119-J118)&gt;2,"No","Yes")</f>
        <v>Yes</v>
      </c>
      <c r="K120" s="110" t="str">
        <f>IF(ABS(K119-K118)&gt;2,"No","Yes")</f>
        <v>Yes</v>
      </c>
      <c r="L120" s="71"/>
      <c r="M120" s="245"/>
      <c r="N120" s="110" t="str">
        <f>IF(ABS(N119-N118)&gt;2,"No","Yes")</f>
        <v>Yes</v>
      </c>
      <c r="O120" s="110" t="str">
        <f>IF(ABS(O119-O118)&gt;2,"No","Yes")</f>
        <v>Yes</v>
      </c>
      <c r="P120" s="110" t="str">
        <f>IF(ABS(P119-P118)&gt;2,"No","Yes")</f>
        <v>Yes</v>
      </c>
      <c r="Q120" s="280"/>
      <c r="R120" s="71"/>
      <c r="S120" s="71"/>
      <c r="T120" s="16"/>
      <c r="U120" s="16"/>
      <c r="V120" s="16"/>
      <c r="W120" s="16"/>
      <c r="X120" s="16"/>
    </row>
    <row r="121" spans="1:24" ht="15.75" customHeight="1" x14ac:dyDescent="0.25">
      <c r="A121" s="322"/>
      <c r="B121" s="16"/>
      <c r="C121" s="16"/>
      <c r="D121" s="16"/>
      <c r="E121" s="16"/>
      <c r="F121" s="16"/>
      <c r="G121" s="16"/>
      <c r="H121" s="279"/>
      <c r="I121" s="16"/>
      <c r="J121" s="16"/>
      <c r="K121" s="16"/>
      <c r="L121" s="71"/>
      <c r="M121" s="245"/>
      <c r="N121" s="16"/>
      <c r="O121" s="16"/>
      <c r="P121" s="16"/>
      <c r="Q121" s="248"/>
      <c r="R121" s="71"/>
      <c r="S121" s="71"/>
      <c r="T121" s="16"/>
      <c r="U121" s="16"/>
      <c r="V121" s="16"/>
      <c r="W121" s="16"/>
      <c r="X121" s="16"/>
    </row>
    <row r="122" spans="1:24" ht="15.75" customHeight="1" thickBot="1" x14ac:dyDescent="0.3">
      <c r="A122" s="318"/>
      <c r="B122" s="87" t="s">
        <v>312</v>
      </c>
      <c r="C122" s="87"/>
      <c r="D122" s="87"/>
      <c r="E122" s="87"/>
      <c r="F122" s="87"/>
      <c r="G122" s="87"/>
      <c r="H122" s="279"/>
      <c r="I122" s="66" t="s">
        <v>305</v>
      </c>
      <c r="J122" s="66" t="s">
        <v>306</v>
      </c>
      <c r="K122" s="66" t="s">
        <v>307</v>
      </c>
      <c r="L122" s="71"/>
      <c r="M122" s="245"/>
      <c r="N122" s="66" t="s">
        <v>305</v>
      </c>
      <c r="O122" s="66" t="s">
        <v>306</v>
      </c>
      <c r="P122" s="66" t="s">
        <v>307</v>
      </c>
      <c r="Q122" s="249"/>
      <c r="R122" s="23"/>
      <c r="S122" s="71"/>
      <c r="T122" s="16"/>
      <c r="U122" s="16"/>
      <c r="V122" s="16"/>
      <c r="W122" s="16"/>
      <c r="X122" s="16"/>
    </row>
    <row r="123" spans="1:24" ht="15.75" customHeight="1" thickBot="1" x14ac:dyDescent="0.3">
      <c r="A123" s="318"/>
      <c r="B123" s="16" t="s">
        <v>446</v>
      </c>
      <c r="C123" s="16"/>
      <c r="D123" s="16"/>
      <c r="E123" s="16"/>
      <c r="F123" s="16"/>
      <c r="G123" s="16"/>
      <c r="H123" s="279"/>
      <c r="I123" s="88" t="s">
        <v>488</v>
      </c>
      <c r="J123" s="88" t="s">
        <v>488</v>
      </c>
      <c r="K123" s="88" t="s">
        <v>488</v>
      </c>
      <c r="L123" s="71"/>
      <c r="M123" s="245"/>
      <c r="N123" s="154" t="str">
        <f>I123</f>
        <v>N/A</v>
      </c>
      <c r="O123" s="154" t="str">
        <f>J123</f>
        <v>N/A</v>
      </c>
      <c r="P123" s="154" t="str">
        <f>K123</f>
        <v>N/A</v>
      </c>
      <c r="Q123" s="248"/>
      <c r="R123" s="71"/>
      <c r="S123" s="71"/>
      <c r="T123" s="16"/>
      <c r="U123" s="16"/>
      <c r="V123" s="16"/>
      <c r="W123" s="16"/>
      <c r="X123" s="16"/>
    </row>
    <row r="124" spans="1:24" ht="15.75" customHeight="1" thickBot="1" x14ac:dyDescent="0.3">
      <c r="A124" s="318"/>
      <c r="B124" s="23" t="s">
        <v>445</v>
      </c>
      <c r="C124" s="23"/>
      <c r="D124" s="16"/>
      <c r="E124" s="16"/>
      <c r="F124" s="16"/>
      <c r="G124" s="16"/>
      <c r="H124" s="279"/>
      <c r="I124" s="88"/>
      <c r="J124" s="88"/>
      <c r="K124" s="88"/>
      <c r="L124" s="71"/>
      <c r="M124" s="245"/>
      <c r="N124" s="88"/>
      <c r="O124" s="88"/>
      <c r="P124" s="88"/>
      <c r="Q124" s="248"/>
      <c r="R124" s="71" t="s">
        <v>138</v>
      </c>
      <c r="S124" s="71"/>
      <c r="T124" s="16"/>
      <c r="U124" s="16"/>
      <c r="V124" s="16"/>
      <c r="W124" s="16"/>
      <c r="X124" s="16"/>
    </row>
    <row r="125" spans="1:24" ht="15.75" customHeight="1" thickBot="1" x14ac:dyDescent="0.3">
      <c r="A125" s="318"/>
      <c r="B125" s="235" t="s">
        <v>448</v>
      </c>
      <c r="C125" s="235"/>
      <c r="D125" s="235"/>
      <c r="E125" s="235"/>
      <c r="F125" s="235"/>
      <c r="G125" s="235"/>
      <c r="H125" s="279"/>
      <c r="I125" s="110" t="str">
        <f>IF(AND(I123="Tight",I124&gt;=0,I124&lt;=4),"Yes",IF(AND(I123="Semi-Tight",I124&gt;=1,I124&lt;=5),"Yes",IF(AND(I123="Average",I124&gt;=3,I124&lt;=7),"Yes",IF(AND(I123="Semi-Leaky",I124&gt;=7,I124&lt;=11),"Yes",IF(AND(I123="Leaky",I124&gt;=11),"Yes",IF(I123="N/A","N/A","No"))))))</f>
        <v>N/A</v>
      </c>
      <c r="J125" s="110" t="str">
        <f t="shared" ref="J125:K125" si="0">IF(AND(J123="Tight",J124&gt;=0,J124&lt;=4),"Yes",IF(AND(J123="Semi-Tight",J124&gt;=1,J124&lt;=5),"Yes",IF(AND(J123="Average",J124&gt;=3,J124&lt;=7),"Yes",IF(AND(J123="Semi-Leaky",J124&gt;=7,J124&lt;=11),"Yes",IF(AND(J123="Leaky",J124&gt;=11),"Yes",IF(J123="N/A","N/A","No"))))))</f>
        <v>N/A</v>
      </c>
      <c r="K125" s="110" t="str">
        <f t="shared" si="0"/>
        <v>N/A</v>
      </c>
      <c r="L125" s="71"/>
      <c r="M125" s="245"/>
      <c r="N125" s="110" t="str">
        <f t="shared" ref="N125:P125" si="1">IF(AND(N123="Tight",N124&gt;=0,N124&lt;=4),"Yes",IF(AND(N123="Semi-Tight",N124&gt;=1,N124&lt;=5),"Yes",IF(AND(N123="Average",N124&gt;=3,N124&lt;=7),"Yes",IF(AND(N123="Semi-Leaky",N124&gt;=7,N124&lt;=11),"Yes",IF(AND(N123="Leaky",N124&gt;=11),"Yes",IF(N123="N/A","N/A","No"))))))</f>
        <v>N/A</v>
      </c>
      <c r="O125" s="110" t="str">
        <f t="shared" si="1"/>
        <v>N/A</v>
      </c>
      <c r="P125" s="110" t="str">
        <f t="shared" si="1"/>
        <v>N/A</v>
      </c>
      <c r="Q125" s="250"/>
      <c r="R125" s="71"/>
      <c r="S125" s="71"/>
      <c r="T125" s="16"/>
      <c r="U125" s="16"/>
      <c r="V125" s="16"/>
      <c r="W125" s="16"/>
      <c r="X125" s="16"/>
    </row>
    <row r="126" spans="1:24" ht="15.75" customHeight="1" x14ac:dyDescent="0.25">
      <c r="A126" s="318"/>
      <c r="B126" s="235"/>
      <c r="C126" s="235"/>
      <c r="D126" s="235"/>
      <c r="E126" s="235"/>
      <c r="F126" s="235"/>
      <c r="G126" s="235"/>
      <c r="H126" s="295"/>
      <c r="I126" s="89"/>
      <c r="J126" s="89"/>
      <c r="K126" s="12"/>
      <c r="L126" s="71"/>
      <c r="M126" s="245"/>
      <c r="N126" s="89"/>
      <c r="O126" s="89"/>
      <c r="P126" s="89"/>
      <c r="Q126" s="250"/>
      <c r="R126" s="71"/>
      <c r="S126" s="71"/>
      <c r="T126" s="16"/>
      <c r="U126" s="16"/>
      <c r="V126" s="16"/>
      <c r="W126" s="16"/>
      <c r="X126" s="16"/>
    </row>
    <row r="127" spans="1:24" ht="15.75" customHeight="1" thickBot="1" x14ac:dyDescent="0.3">
      <c r="A127" s="318"/>
      <c r="B127" s="313" t="s">
        <v>449</v>
      </c>
      <c r="C127" s="313"/>
      <c r="D127" s="235"/>
      <c r="E127" s="235"/>
      <c r="F127" s="235"/>
      <c r="G127" s="235"/>
      <c r="H127" s="295"/>
      <c r="I127" s="66" t="s">
        <v>305</v>
      </c>
      <c r="J127" s="66" t="s">
        <v>306</v>
      </c>
      <c r="K127" s="66" t="s">
        <v>307</v>
      </c>
      <c r="L127" s="71"/>
      <c r="M127" s="245"/>
      <c r="N127" s="66" t="s">
        <v>305</v>
      </c>
      <c r="O127" s="66" t="s">
        <v>306</v>
      </c>
      <c r="P127" s="66" t="s">
        <v>307</v>
      </c>
      <c r="Q127" s="250"/>
      <c r="R127" s="71"/>
      <c r="S127" s="283" t="s">
        <v>402</v>
      </c>
      <c r="T127" s="16"/>
      <c r="U127" s="16"/>
      <c r="V127" s="16"/>
      <c r="W127" s="16"/>
      <c r="X127" s="16"/>
    </row>
    <row r="128" spans="1:24" ht="15.75" customHeight="1" thickBot="1" x14ac:dyDescent="0.3">
      <c r="A128" s="318"/>
      <c r="B128" s="235" t="s">
        <v>450</v>
      </c>
      <c r="C128" s="235"/>
      <c r="D128" s="235"/>
      <c r="E128" s="235"/>
      <c r="F128" s="235"/>
      <c r="G128" s="235"/>
      <c r="H128" s="295"/>
      <c r="I128" s="88"/>
      <c r="J128" s="88"/>
      <c r="K128" s="88"/>
      <c r="L128" s="71"/>
      <c r="M128" s="245"/>
      <c r="N128" s="367">
        <f t="shared" ref="N128:P129" si="2">I128</f>
        <v>0</v>
      </c>
      <c r="O128" s="367">
        <f t="shared" si="2"/>
        <v>0</v>
      </c>
      <c r="P128" s="367">
        <f t="shared" si="2"/>
        <v>0</v>
      </c>
      <c r="Q128" s="250"/>
      <c r="R128" s="12"/>
      <c r="S128" s="71"/>
      <c r="T128" s="16"/>
      <c r="U128" s="16"/>
      <c r="V128" s="16"/>
      <c r="W128" s="16"/>
      <c r="X128" s="16"/>
    </row>
    <row r="129" spans="1:24" ht="15.75" customHeight="1" thickBot="1" x14ac:dyDescent="0.3">
      <c r="A129" s="318"/>
      <c r="B129" s="235" t="s">
        <v>451</v>
      </c>
      <c r="C129" s="235"/>
      <c r="D129" s="235"/>
      <c r="E129" s="235"/>
      <c r="F129" s="235"/>
      <c r="G129" s="235"/>
      <c r="H129" s="295"/>
      <c r="I129" s="88"/>
      <c r="J129" s="88"/>
      <c r="K129" s="88"/>
      <c r="L129" s="71"/>
      <c r="M129" s="245"/>
      <c r="N129" s="367">
        <f t="shared" si="2"/>
        <v>0</v>
      </c>
      <c r="O129" s="367">
        <f t="shared" si="2"/>
        <v>0</v>
      </c>
      <c r="P129" s="367">
        <f t="shared" si="2"/>
        <v>0</v>
      </c>
      <c r="Q129" s="250"/>
      <c r="R129" s="12"/>
      <c r="S129" s="71"/>
      <c r="T129"/>
      <c r="U129" s="16"/>
      <c r="V129" s="16"/>
      <c r="W129" s="16"/>
      <c r="X129" s="16"/>
    </row>
    <row r="130" spans="1:24" ht="15.75" customHeight="1" thickBot="1" x14ac:dyDescent="0.3">
      <c r="A130" s="318"/>
      <c r="B130" s="235"/>
      <c r="C130" s="235"/>
      <c r="D130" s="235"/>
      <c r="E130" s="235"/>
      <c r="F130" s="235"/>
      <c r="G130" s="235"/>
      <c r="H130" s="295"/>
      <c r="I130"/>
      <c r="J130"/>
      <c r="K130"/>
      <c r="L130" s="71"/>
      <c r="M130" s="245"/>
      <c r="N130" s="89"/>
      <c r="O130" s="89"/>
      <c r="P130" s="89"/>
      <c r="Q130" s="250"/>
      <c r="R130" s="12"/>
      <c r="S130" s="71"/>
      <c r="T130" s="16"/>
      <c r="U130" s="16"/>
      <c r="V130" s="16"/>
      <c r="W130" s="16"/>
      <c r="X130" s="16"/>
    </row>
    <row r="131" spans="1:24" ht="15.75" customHeight="1" thickBot="1" x14ac:dyDescent="0.3">
      <c r="A131" s="318"/>
      <c r="B131" s="410" t="s">
        <v>463</v>
      </c>
      <c r="C131" s="410"/>
      <c r="D131" s="410"/>
      <c r="E131" s="410"/>
      <c r="F131" s="410"/>
      <c r="G131" s="300"/>
      <c r="H131" s="295"/>
      <c r="I131"/>
      <c r="J131"/>
      <c r="K131" s="110" t="str">
        <f>IF(SUM(I128:K128)=SUM(I129:K129),"Yes","No")</f>
        <v>Yes</v>
      </c>
      <c r="L131" s="71"/>
      <c r="M131" s="245"/>
      <c r="N131" s="89"/>
      <c r="O131" s="89"/>
      <c r="P131" s="2" t="str">
        <f>K131</f>
        <v>Yes</v>
      </c>
      <c r="Q131" s="250"/>
      <c r="R131" s="12"/>
      <c r="S131" s="71"/>
      <c r="T131" s="16"/>
      <c r="U131" s="16"/>
      <c r="V131" s="16"/>
      <c r="W131" s="16"/>
      <c r="X131" s="16"/>
    </row>
    <row r="132" spans="1:24" ht="15.75" customHeight="1" x14ac:dyDescent="0.25">
      <c r="A132" s="318"/>
      <c r="B132" s="410"/>
      <c r="C132" s="410"/>
      <c r="D132" s="410"/>
      <c r="E132" s="410"/>
      <c r="F132" s="410"/>
      <c r="G132" s="300"/>
      <c r="H132" s="295"/>
      <c r="I132" s="89"/>
      <c r="J132" s="89"/>
      <c r="K132" s="12"/>
      <c r="L132" s="71"/>
      <c r="M132" s="245"/>
      <c r="N132" s="89"/>
      <c r="O132" s="89"/>
      <c r="P132" s="89"/>
      <c r="Q132" s="250"/>
      <c r="R132" s="12"/>
      <c r="S132" s="71"/>
      <c r="T132" s="16"/>
      <c r="U132" s="16"/>
      <c r="V132" s="16"/>
      <c r="W132" s="16"/>
      <c r="X132" s="16"/>
    </row>
    <row r="133" spans="1:24" ht="15.75" customHeight="1" x14ac:dyDescent="0.25">
      <c r="A133" s="322"/>
      <c r="B133" s="261"/>
      <c r="C133" s="300"/>
      <c r="D133" s="261"/>
      <c r="E133" s="261"/>
      <c r="F133" s="261"/>
      <c r="G133" s="300"/>
      <c r="H133" s="296"/>
      <c r="I133" s="269"/>
      <c r="J133" s="16"/>
      <c r="K133" s="16"/>
      <c r="L133" s="71"/>
      <c r="M133" s="245"/>
      <c r="N133" s="16"/>
      <c r="O133" s="16"/>
      <c r="P133" s="16"/>
      <c r="Q133" s="248"/>
      <c r="R133" s="12"/>
      <c r="S133" s="71"/>
      <c r="T133" s="16"/>
      <c r="U133" s="16"/>
      <c r="V133" s="16"/>
      <c r="W133" s="16"/>
      <c r="X133" s="16"/>
    </row>
    <row r="134" spans="1:24" ht="15.75" customHeight="1" thickBot="1" x14ac:dyDescent="0.3">
      <c r="A134" s="322"/>
      <c r="B134" s="326" t="s">
        <v>466</v>
      </c>
      <c r="C134" s="326"/>
      <c r="D134" s="259"/>
      <c r="E134" s="259"/>
      <c r="F134" s="259"/>
      <c r="G134" s="259"/>
      <c r="H134" s="279"/>
      <c r="I134" s="16"/>
      <c r="J134" s="16"/>
      <c r="K134" s="16"/>
      <c r="L134" s="71"/>
      <c r="M134" s="245"/>
      <c r="N134" s="16"/>
      <c r="O134" s="16"/>
      <c r="P134" s="16"/>
      <c r="Q134" s="248"/>
      <c r="R134" s="12"/>
      <c r="S134" s="71"/>
      <c r="T134" s="16"/>
      <c r="U134" s="16"/>
      <c r="V134" s="16"/>
      <c r="W134" s="16"/>
      <c r="X134" s="16"/>
    </row>
    <row r="135" spans="1:24" ht="15.75" customHeight="1" thickBot="1" x14ac:dyDescent="0.3">
      <c r="A135" s="322"/>
      <c r="B135" s="330" t="s">
        <v>467</v>
      </c>
      <c r="C135" s="330"/>
      <c r="D135" s="290"/>
      <c r="E135" s="290"/>
      <c r="F135" s="290"/>
      <c r="G135" s="303"/>
      <c r="H135" s="297"/>
      <c r="I135" s="270"/>
      <c r="J135" s="16"/>
      <c r="K135" s="44" t="s">
        <v>4</v>
      </c>
      <c r="L135" s="71"/>
      <c r="M135" s="245"/>
      <c r="N135" s="270"/>
      <c r="O135" s="270"/>
      <c r="P135" s="44" t="s">
        <v>4</v>
      </c>
      <c r="Q135" s="282"/>
      <c r="R135" s="167"/>
      <c r="S135" s="71" t="s">
        <v>179</v>
      </c>
      <c r="T135" s="16"/>
      <c r="U135" s="16"/>
      <c r="V135" s="16"/>
      <c r="W135" s="16"/>
      <c r="X135" s="16"/>
    </row>
    <row r="136" spans="1:24" ht="15.75" customHeight="1" thickBot="1" x14ac:dyDescent="0.3">
      <c r="A136" s="322"/>
      <c r="B136" s="327" t="s">
        <v>452</v>
      </c>
      <c r="C136" s="327"/>
      <c r="D136" s="327"/>
      <c r="E136" s="327"/>
      <c r="F136" s="327"/>
      <c r="G136" s="303"/>
      <c r="H136" s="297"/>
      <c r="I136" s="270"/>
      <c r="J136" s="16"/>
      <c r="K136" s="44" t="s">
        <v>4</v>
      </c>
      <c r="L136" s="71"/>
      <c r="M136" s="245"/>
      <c r="N136" s="270"/>
      <c r="O136" s="270"/>
      <c r="P136" s="44" t="s">
        <v>4</v>
      </c>
      <c r="Q136" s="282"/>
      <c r="R136" s="167"/>
      <c r="S136" s="71" t="s">
        <v>140</v>
      </c>
      <c r="T136" s="16"/>
      <c r="U136" s="16"/>
      <c r="V136" s="16"/>
      <c r="W136" s="16"/>
      <c r="X136" s="16"/>
    </row>
    <row r="137" spans="1:24" ht="15.75" customHeight="1" x14ac:dyDescent="0.25">
      <c r="A137" s="322"/>
      <c r="B137" s="327"/>
      <c r="C137" s="327"/>
      <c r="D137" s="327"/>
      <c r="E137" s="327"/>
      <c r="F137" s="327"/>
      <c r="G137" s="303"/>
      <c r="H137" s="297"/>
      <c r="I137" s="270"/>
      <c r="J137" s="16"/>
      <c r="K137"/>
      <c r="L137" s="71"/>
      <c r="M137" s="245"/>
      <c r="N137" s="270"/>
      <c r="O137" s="270"/>
      <c r="P137"/>
      <c r="Q137" s="282"/>
      <c r="R137" s="167"/>
      <c r="S137" s="71"/>
      <c r="T137" s="16"/>
      <c r="U137" s="16"/>
      <c r="V137" s="16"/>
      <c r="W137" s="16"/>
      <c r="X137" s="16"/>
    </row>
    <row r="138" spans="1:24" ht="15.75" customHeight="1" thickBot="1" x14ac:dyDescent="0.3">
      <c r="A138" s="322"/>
      <c r="B138" s="326" t="s">
        <v>453</v>
      </c>
      <c r="C138" s="326"/>
      <c r="D138" s="327"/>
      <c r="E138" s="327"/>
      <c r="F138" s="327"/>
      <c r="G138" s="303"/>
      <c r="H138" s="297"/>
      <c r="I138" s="66" t="s">
        <v>454</v>
      </c>
      <c r="J138" s="66" t="s">
        <v>455</v>
      </c>
      <c r="K138" s="66" t="s">
        <v>456</v>
      </c>
      <c r="L138" s="71"/>
      <c r="M138" s="245"/>
      <c r="N138" s="66" t="s">
        <v>454</v>
      </c>
      <c r="O138" s="66" t="s">
        <v>455</v>
      </c>
      <c r="P138" s="66" t="s">
        <v>456</v>
      </c>
      <c r="Q138" s="282"/>
      <c r="R138" s="167"/>
      <c r="S138" s="71"/>
      <c r="T138" s="16"/>
      <c r="U138" s="16"/>
      <c r="V138" s="16"/>
      <c r="W138" s="16"/>
      <c r="X138" s="16"/>
    </row>
    <row r="139" spans="1:24" ht="15.75" customHeight="1" thickBot="1" x14ac:dyDescent="0.3">
      <c r="A139" s="322"/>
      <c r="B139" s="237" t="s">
        <v>457</v>
      </c>
      <c r="C139" s="237"/>
      <c r="D139" s="327"/>
      <c r="E139" s="327"/>
      <c r="F139" s="327"/>
      <c r="G139" s="303"/>
      <c r="H139" s="297"/>
      <c r="I139" s="45"/>
      <c r="J139" s="45"/>
      <c r="K139" s="45"/>
      <c r="L139" s="71"/>
      <c r="M139" s="245"/>
      <c r="N139" s="154">
        <f t="shared" ref="N139:P141" si="3">I139</f>
        <v>0</v>
      </c>
      <c r="O139" s="154">
        <f t="shared" si="3"/>
        <v>0</v>
      </c>
      <c r="P139" s="154">
        <f t="shared" si="3"/>
        <v>0</v>
      </c>
      <c r="Q139" s="282"/>
      <c r="R139" s="167" t="s">
        <v>27</v>
      </c>
      <c r="S139" s="283" t="s">
        <v>403</v>
      </c>
      <c r="T139" s="16"/>
      <c r="U139" s="16"/>
      <c r="V139" s="16"/>
      <c r="W139" s="16"/>
      <c r="X139" s="16"/>
    </row>
    <row r="140" spans="1:24" ht="15.75" customHeight="1" thickBot="1" x14ac:dyDescent="0.3">
      <c r="A140" s="322"/>
      <c r="B140" s="237" t="s">
        <v>458</v>
      </c>
      <c r="C140" s="237"/>
      <c r="D140" s="327"/>
      <c r="E140" s="327"/>
      <c r="F140" s="327"/>
      <c r="G140" s="303"/>
      <c r="H140" s="297"/>
      <c r="I140" s="45"/>
      <c r="J140" s="45"/>
      <c r="K140" s="45"/>
      <c r="L140" s="71"/>
      <c r="M140" s="245"/>
      <c r="N140" s="154">
        <f t="shared" si="3"/>
        <v>0</v>
      </c>
      <c r="O140" s="154">
        <f t="shared" si="3"/>
        <v>0</v>
      </c>
      <c r="P140" s="154">
        <f t="shared" si="3"/>
        <v>0</v>
      </c>
      <c r="Q140" s="282"/>
      <c r="R140" s="167" t="s">
        <v>27</v>
      </c>
      <c r="S140" s="71"/>
      <c r="T140" s="16"/>
      <c r="U140" s="16"/>
      <c r="V140" s="16"/>
      <c r="W140" s="16"/>
      <c r="X140" s="16"/>
    </row>
    <row r="141" spans="1:24" ht="15.75" customHeight="1" thickBot="1" x14ac:dyDescent="0.3">
      <c r="A141" s="322"/>
      <c r="B141" s="237" t="s">
        <v>459</v>
      </c>
      <c r="C141" s="237"/>
      <c r="D141" s="327"/>
      <c r="E141" s="327"/>
      <c r="F141" s="327"/>
      <c r="G141" s="303"/>
      <c r="H141" s="297"/>
      <c r="I141" s="45"/>
      <c r="J141" s="45"/>
      <c r="K141" s="45"/>
      <c r="L141" s="71"/>
      <c r="M141" s="245"/>
      <c r="N141" s="154">
        <f t="shared" si="3"/>
        <v>0</v>
      </c>
      <c r="O141" s="154">
        <f t="shared" si="3"/>
        <v>0</v>
      </c>
      <c r="P141" s="154">
        <f t="shared" si="3"/>
        <v>0</v>
      </c>
      <c r="Q141" s="282"/>
      <c r="R141" s="167" t="s">
        <v>27</v>
      </c>
      <c r="S141" s="71"/>
      <c r="T141" s="16"/>
      <c r="U141" s="16"/>
      <c r="V141" s="16"/>
      <c r="W141" s="16"/>
      <c r="X141" s="16"/>
    </row>
    <row r="142" spans="1:24" ht="15.75" customHeight="1" thickBot="1" x14ac:dyDescent="0.3">
      <c r="A142" s="322"/>
      <c r="B142" s="237" t="s">
        <v>460</v>
      </c>
      <c r="C142" s="237"/>
      <c r="D142" s="327"/>
      <c r="E142" s="327"/>
      <c r="F142" s="327"/>
      <c r="G142" s="303"/>
      <c r="H142" s="297"/>
      <c r="I142" s="154" t="str">
        <f>IF(I139=MAX(I140:I141),"Yes","No")</f>
        <v>Yes</v>
      </c>
      <c r="J142" s="154" t="str">
        <f t="shared" ref="J142:K142" si="4">IF(J139=MAX(J140:J141),"Yes","No")</f>
        <v>Yes</v>
      </c>
      <c r="K142" s="154" t="str">
        <f t="shared" si="4"/>
        <v>Yes</v>
      </c>
      <c r="L142" s="71"/>
      <c r="M142" s="328"/>
      <c r="N142" s="154" t="str">
        <f>I142</f>
        <v>Yes</v>
      </c>
      <c r="O142" s="154" t="str">
        <f t="shared" ref="O142:P142" si="5">J142</f>
        <v>Yes</v>
      </c>
      <c r="P142" s="154" t="str">
        <f t="shared" si="5"/>
        <v>Yes</v>
      </c>
      <c r="Q142" s="282"/>
      <c r="R142" s="167"/>
      <c r="S142" s="71"/>
      <c r="T142" s="16"/>
      <c r="U142" s="16"/>
      <c r="V142" s="16"/>
      <c r="W142" s="16"/>
      <c r="X142" s="16"/>
    </row>
    <row r="143" spans="1:24" ht="15.75" customHeight="1" thickBot="1" x14ac:dyDescent="0.3">
      <c r="A143" s="318"/>
      <c r="B143" s="299"/>
      <c r="C143" s="299"/>
      <c r="D143" s="299"/>
      <c r="E143" s="299"/>
      <c r="F143" s="299"/>
      <c r="G143" s="299"/>
      <c r="H143" s="298"/>
      <c r="I143" s="50"/>
      <c r="J143" s="16"/>
      <c r="K143"/>
      <c r="L143" s="230"/>
      <c r="M143" s="71"/>
      <c r="N143" s="299"/>
      <c r="O143" s="299"/>
      <c r="P143"/>
      <c r="Q143" s="252"/>
      <c r="R143" s="262"/>
      <c r="T143" s="16"/>
      <c r="U143" s="16"/>
      <c r="V143" s="16"/>
      <c r="W143" s="71"/>
      <c r="X143" s="16"/>
    </row>
    <row r="144" spans="1:24" ht="15.75" customHeight="1" thickBot="1" x14ac:dyDescent="0.3">
      <c r="A144" s="317" t="s">
        <v>468</v>
      </c>
      <c r="B144" s="246"/>
      <c r="C144" s="246"/>
      <c r="D144" s="246"/>
      <c r="E144" s="246"/>
      <c r="F144" s="246"/>
      <c r="G144" s="246"/>
      <c r="H144" s="246"/>
      <c r="I144" s="246"/>
      <c r="J144" s="246"/>
      <c r="K144" s="246"/>
      <c r="L144" s="246"/>
      <c r="M144" s="246"/>
      <c r="N144" s="246"/>
      <c r="O144" s="246"/>
      <c r="P144" s="246"/>
      <c r="Q144" s="247"/>
      <c r="R144" s="16"/>
      <c r="S144" s="16"/>
      <c r="T144" s="16"/>
      <c r="U144" s="16"/>
      <c r="V144" s="167"/>
      <c r="W144" s="276"/>
      <c r="X144" s="16"/>
    </row>
    <row r="145" spans="1:24" ht="15.75" customHeight="1" x14ac:dyDescent="0.25">
      <c r="A145" s="324"/>
      <c r="B145" s="331"/>
      <c r="C145" s="331"/>
      <c r="D145" s="305"/>
      <c r="E145" s="305"/>
      <c r="F145" s="305"/>
      <c r="G145" s="305"/>
      <c r="H145" s="332"/>
      <c r="I145" s="305"/>
      <c r="J145" s="305"/>
      <c r="K145" s="305"/>
      <c r="L145" s="333"/>
      <c r="M145" s="305"/>
      <c r="N145" s="305"/>
      <c r="O145" s="305"/>
      <c r="P145" s="305"/>
      <c r="Q145" s="306"/>
      <c r="R145" s="23"/>
      <c r="S145" s="16"/>
      <c r="T145" s="16"/>
      <c r="U145" s="16"/>
      <c r="V145" s="167"/>
      <c r="W145" s="276"/>
      <c r="X145" s="16"/>
    </row>
    <row r="146" spans="1:24" ht="15.75" customHeight="1" thickBot="1" x14ac:dyDescent="0.3">
      <c r="A146" s="325"/>
      <c r="B146" s="95" t="s">
        <v>469</v>
      </c>
      <c r="C146" s="95"/>
      <c r="D146" s="50"/>
      <c r="E146" s="50"/>
      <c r="F146" s="50"/>
      <c r="G146" s="50"/>
      <c r="H146" s="298"/>
      <c r="I146" s="31"/>
      <c r="J146" s="31"/>
      <c r="K146" s="67"/>
      <c r="L146" s="230"/>
      <c r="M146" s="245"/>
      <c r="N146" s="31"/>
      <c r="O146" s="31"/>
      <c r="P146" s="31"/>
      <c r="Q146" s="251"/>
      <c r="R146" s="31"/>
      <c r="T146" s="16"/>
      <c r="U146" s="16"/>
      <c r="V146" s="167"/>
      <c r="W146" s="71"/>
      <c r="X146" s="16"/>
    </row>
    <row r="147" spans="1:24" ht="15.75" customHeight="1" thickBot="1" x14ac:dyDescent="0.3">
      <c r="A147" s="325"/>
      <c r="C147" s="334" t="s">
        <v>473</v>
      </c>
      <c r="E147" s="299"/>
      <c r="F147" s="299"/>
      <c r="G147" s="299"/>
      <c r="H147" s="288"/>
      <c r="I147" s="49" t="s">
        <v>406</v>
      </c>
      <c r="J147" s="23"/>
      <c r="K147" s="110" t="str">
        <f>IF($E$10="Dwelling or townhouse or unit within",IF(COUNTIF(H16:K35,"No")&gt;0,"No","Yes"),"N/A")</f>
        <v>Yes</v>
      </c>
      <c r="L147" s="230"/>
      <c r="M147" s="71"/>
      <c r="N147" s="49" t="s">
        <v>407</v>
      </c>
      <c r="O147" s="50"/>
      <c r="P147" s="110" t="str">
        <f>IF($E$10="Dwelling or townhouse or unit within",IF(COUNTIF(M13:P35,"No")&gt;0,"No","Yes"),"N/A")</f>
        <v>No</v>
      </c>
      <c r="Q147" s="252"/>
      <c r="R147" s="340"/>
      <c r="S147" s="238"/>
      <c r="V147" s="12"/>
      <c r="W147" s="71"/>
      <c r="X147" s="16"/>
    </row>
    <row r="148" spans="1:24" ht="15.75" customHeight="1" thickBot="1" x14ac:dyDescent="0.3">
      <c r="A148" s="325"/>
      <c r="C148" s="49" t="s">
        <v>474</v>
      </c>
      <c r="E148" s="50"/>
      <c r="F148" s="50"/>
      <c r="G148" s="50"/>
      <c r="H148" s="287"/>
      <c r="I148" s="49" t="s">
        <v>406</v>
      </c>
      <c r="J148" s="23"/>
      <c r="K148" s="110" t="str">
        <f>IF($E$10="Unit in a multifamily building w/ heat gain ≤18 kBTUh &amp; heat loss ≤35 kBTUh",IF(COUNTIF(H41:K58,"No")&gt;0,"No","Yes"),"N/A")</f>
        <v>N/A</v>
      </c>
      <c r="L148" s="230"/>
      <c r="M148" s="245"/>
      <c r="N148" s="49" t="s">
        <v>407</v>
      </c>
      <c r="O148" s="50"/>
      <c r="P148" s="110" t="str">
        <f>IF($E$10="Unit in a multifamily building w/ heat gain ≤18 kBTUh &amp; heat loss ≤35 kBTUh",IF(COUNTIF(M38:P58,"No")&gt;0,"No","Yes"),"N/A")</f>
        <v>N/A</v>
      </c>
      <c r="Q148" s="251"/>
      <c r="R148" s="95"/>
      <c r="T148" s="238"/>
      <c r="U148" s="167"/>
      <c r="V148" s="12"/>
      <c r="W148" s="71"/>
      <c r="X148" s="16"/>
    </row>
    <row r="149" spans="1:24" ht="15.75" customHeight="1" thickBot="1" x14ac:dyDescent="0.3">
      <c r="A149" s="335"/>
      <c r="C149" s="49" t="s">
        <v>479</v>
      </c>
      <c r="E149" s="290"/>
      <c r="F149" s="290"/>
      <c r="G149" s="290"/>
      <c r="H149" s="289"/>
      <c r="I149" s="49" t="s">
        <v>406</v>
      </c>
      <c r="J149" s="23"/>
      <c r="K149" s="110" t="str">
        <f>IF($E$10="Unit in a multifamily building w/ heat gain &gt;18 kBTUh or heat loss &gt;35 kBTUh",IF(COUNTIF(H64:K83,"No")&gt;0,"No","Yes"),"N/A")</f>
        <v>N/A</v>
      </c>
      <c r="L149" s="71"/>
      <c r="M149" s="245"/>
      <c r="N149" s="49" t="s">
        <v>407</v>
      </c>
      <c r="O149" s="50"/>
      <c r="P149" s="110" t="str">
        <f>IF($E$10="Unit in a multifamily building w/ heat gain &gt;18 kBTUh or heat loss &gt;35 kBTUh",IF(COUNTIF(M61:P83,"No")&gt;0,"No","Yes"),"N/A")</f>
        <v>N/A</v>
      </c>
      <c r="Q149" s="251"/>
      <c r="R149" s="360"/>
      <c r="S149" s="283"/>
      <c r="V149" s="12"/>
      <c r="W149" s="16"/>
      <c r="X149" s="16"/>
    </row>
    <row r="150" spans="1:24" ht="15.75" customHeight="1" thickBot="1" x14ac:dyDescent="0.3">
      <c r="A150" s="335"/>
      <c r="C150" s="49" t="s">
        <v>470</v>
      </c>
      <c r="E150" s="50"/>
      <c r="F150" s="50"/>
      <c r="G150" s="50"/>
      <c r="H150" s="298"/>
      <c r="I150" s="49" t="s">
        <v>406</v>
      </c>
      <c r="J150" s="23"/>
      <c r="K150" s="110" t="str">
        <f>IF(COUNTIF(I89:K142,"No")&gt;0,"No","Yes")</f>
        <v>Yes</v>
      </c>
      <c r="L150" s="71"/>
      <c r="M150" s="245"/>
      <c r="N150" s="49" t="s">
        <v>407</v>
      </c>
      <c r="O150" s="50"/>
      <c r="P150" s="110" t="str">
        <f>IF(COUNTIF(N86:P142,"No")&gt;0,"No","Yes")</f>
        <v>No</v>
      </c>
      <c r="Q150" s="251"/>
      <c r="R150" s="50"/>
      <c r="T150" s="16"/>
      <c r="U150" s="16"/>
      <c r="V150" s="16"/>
      <c r="W150" s="71"/>
      <c r="X150" s="16"/>
    </row>
    <row r="151" spans="1:24" ht="15.75" customHeight="1" thickBot="1" x14ac:dyDescent="0.3">
      <c r="A151" s="335"/>
      <c r="B151" s="49" t="s">
        <v>471</v>
      </c>
      <c r="C151" s="49"/>
      <c r="D151" s="49"/>
      <c r="E151" s="49"/>
      <c r="F151" s="49"/>
      <c r="G151" s="49"/>
      <c r="H151" s="298"/>
      <c r="I151" s="49" t="s">
        <v>406</v>
      </c>
      <c r="J151" s="23"/>
      <c r="K151" s="110" t="str">
        <f>IF(K150="No","No",IF(E10="Dwelling or townhouse or unit within",IF(K147="No","No","Yes"),IF(E10="Unit in a multifamily building w/ heat gain ≤18 kBTUh &amp; heat loss ≤35 kBTUh",IF(K148="No","No","Yes"),IF(E10="Unit in a multifamily building w/ heat gain &gt;18 kBTUh or heat loss &gt;35 kBTUh",IF(K149="No","No","Yes"),"Error"))))</f>
        <v>Yes</v>
      </c>
      <c r="L151" s="276"/>
      <c r="M151" s="291"/>
      <c r="N151" s="49" t="s">
        <v>407</v>
      </c>
      <c r="O151" s="50"/>
      <c r="P151" s="110" t="str">
        <f>IF(P150="No","No",IF(E10="Dwelling or townhouse or unit within",IF(P147="No","No","Yes"),IF(E10="Unit in a multifamily building w/ heat gain ≤18 kBTUh &amp; heat loss ≤35 kBTUh",IF(P148="No","No","Yes"),IF(E10="Unit in a multifamily building w/ heat gain &gt;18 kBTUh or heat loss &gt;35 kBTUh",IF(P149="No","No","Yes"),"Error"))))</f>
        <v>No</v>
      </c>
      <c r="Q151" s="251"/>
      <c r="R151" s="50"/>
      <c r="S151" s="16"/>
      <c r="T151" s="16"/>
      <c r="U151" s="16"/>
      <c r="V151" s="167"/>
      <c r="W151" s="276"/>
      <c r="X151" s="16"/>
    </row>
    <row r="152" spans="1:24" ht="15.75" customHeight="1" thickBot="1" x14ac:dyDescent="0.3">
      <c r="A152" s="336"/>
      <c r="B152" s="337"/>
      <c r="C152" s="337"/>
      <c r="D152" s="337"/>
      <c r="E152" s="337"/>
      <c r="F152" s="337"/>
      <c r="G152" s="337"/>
      <c r="H152" s="308"/>
      <c r="I152" s="309"/>
      <c r="J152" s="338"/>
      <c r="K152" s="304"/>
      <c r="L152" s="304"/>
      <c r="M152" s="339"/>
      <c r="N152" s="338"/>
      <c r="O152" s="309"/>
      <c r="P152" s="309"/>
      <c r="Q152" s="310"/>
      <c r="R152" s="50"/>
      <c r="S152" s="35"/>
      <c r="T152" s="16"/>
      <c r="U152" s="16"/>
      <c r="V152" s="167"/>
      <c r="W152" s="167"/>
      <c r="X152" s="16"/>
    </row>
    <row r="153" spans="1:24" ht="15.75" customHeight="1" x14ac:dyDescent="0.25">
      <c r="K153"/>
      <c r="L153" s="95"/>
      <c r="M153" s="95"/>
      <c r="N153" s="95"/>
      <c r="O153" s="95"/>
      <c r="P153"/>
      <c r="Q153" s="23"/>
      <c r="R153" s="16"/>
      <c r="S153" s="16"/>
      <c r="T153" s="35"/>
      <c r="U153" s="16"/>
      <c r="V153" s="167"/>
      <c r="W153" s="16"/>
      <c r="X153" s="16"/>
    </row>
    <row r="154" spans="1:24" ht="15.75" customHeight="1" x14ac:dyDescent="0.25">
      <c r="B154"/>
      <c r="C154"/>
      <c r="K154"/>
      <c r="L154"/>
      <c r="M154"/>
      <c r="N154"/>
      <c r="O154"/>
      <c r="P154"/>
      <c r="Q154" s="23"/>
      <c r="R154" s="16"/>
      <c r="S154" s="16"/>
      <c r="T154" s="16"/>
      <c r="U154" s="16"/>
      <c r="V154" s="16"/>
      <c r="W154" s="16"/>
      <c r="X154" s="16"/>
    </row>
    <row r="155" spans="1:24" ht="15.75" customHeight="1" x14ac:dyDescent="0.25">
      <c r="B155"/>
      <c r="C155"/>
      <c r="O155" s="73"/>
      <c r="P155" s="73"/>
      <c r="T155" s="16"/>
      <c r="U155" s="16"/>
      <c r="V155" s="16"/>
    </row>
    <row r="156" spans="1:24" ht="15.75" customHeight="1" x14ac:dyDescent="0.25">
      <c r="B156"/>
      <c r="C156"/>
    </row>
    <row r="157" spans="1:24" ht="15.75" customHeight="1" x14ac:dyDescent="0.25">
      <c r="B157"/>
      <c r="C157"/>
    </row>
    <row r="158" spans="1:24" ht="15.75" customHeight="1" x14ac:dyDescent="0.25">
      <c r="B158"/>
      <c r="C158"/>
    </row>
    <row r="159" spans="1:24" ht="15.75" customHeight="1" x14ac:dyDescent="0.25">
      <c r="B159"/>
      <c r="C159"/>
    </row>
  </sheetData>
  <sheetProtection sheet="1" selectLockedCells="1"/>
  <mergeCells count="24">
    <mergeCell ref="B131:F132"/>
    <mergeCell ref="B42:F44"/>
    <mergeCell ref="B17:F18"/>
    <mergeCell ref="B66:F67"/>
    <mergeCell ref="B46:F48"/>
    <mergeCell ref="B72:F72"/>
    <mergeCell ref="B77:F78"/>
    <mergeCell ref="B35:F35"/>
    <mergeCell ref="B41:F41"/>
    <mergeCell ref="B56:F57"/>
    <mergeCell ref="I87:K87"/>
    <mergeCell ref="N87:P87"/>
    <mergeCell ref="L1:L2"/>
    <mergeCell ref="B3:Q5"/>
    <mergeCell ref="B6:Q7"/>
    <mergeCell ref="I14:K14"/>
    <mergeCell ref="N14:P14"/>
    <mergeCell ref="I62:K62"/>
    <mergeCell ref="N62:P62"/>
    <mergeCell ref="I39:K39"/>
    <mergeCell ref="N39:P39"/>
    <mergeCell ref="B23:F23"/>
    <mergeCell ref="B28:F29"/>
    <mergeCell ref="E10:I10"/>
  </mergeCells>
  <conditionalFormatting sqref="P34 P16:P17 H126:J126 I125:K125 H132:J132 H127:H131">
    <cfRule type="cellIs" dxfId="239" priority="271" operator="equal">
      <formula>"No"</formula>
    </cfRule>
  </conditionalFormatting>
  <conditionalFormatting sqref="P99">
    <cfRule type="cellIs" dxfId="238" priority="267" operator="equal">
      <formula>"No"</formula>
    </cfRule>
  </conditionalFormatting>
  <conditionalFormatting sqref="N23">
    <cfRule type="cellIs" dxfId="237" priority="265" operator="equal">
      <formula>"No"</formula>
    </cfRule>
  </conditionalFormatting>
  <conditionalFormatting sqref="N28:P28">
    <cfRule type="cellIs" dxfId="236" priority="264" operator="equal">
      <formula>"No"</formula>
    </cfRule>
  </conditionalFormatting>
  <conditionalFormatting sqref="N104">
    <cfRule type="cellIs" dxfId="235" priority="261" operator="equal">
      <formula>"No"</formula>
    </cfRule>
  </conditionalFormatting>
  <conditionalFormatting sqref="P151">
    <cfRule type="cellIs" dxfId="234" priority="256" operator="equal">
      <formula>"No"</formula>
    </cfRule>
  </conditionalFormatting>
  <conditionalFormatting sqref="P42">
    <cfRule type="cellIs" dxfId="233" priority="253" operator="equal">
      <formula>"No"</formula>
    </cfRule>
  </conditionalFormatting>
  <conditionalFormatting sqref="P46">
    <cfRule type="cellIs" dxfId="232" priority="252" operator="equal">
      <formula>"No"</formula>
    </cfRule>
  </conditionalFormatting>
  <conditionalFormatting sqref="P56">
    <cfRule type="cellIs" dxfId="231" priority="250" operator="equal">
      <formula>"No"</formula>
    </cfRule>
  </conditionalFormatting>
  <conditionalFormatting sqref="P65">
    <cfRule type="cellIs" dxfId="230" priority="247" operator="equal">
      <formula>"No"</formula>
    </cfRule>
  </conditionalFormatting>
  <conditionalFormatting sqref="P66">
    <cfRule type="cellIs" dxfId="229" priority="246" operator="equal">
      <formula>"No"</formula>
    </cfRule>
  </conditionalFormatting>
  <conditionalFormatting sqref="P64">
    <cfRule type="cellIs" dxfId="228" priority="248" operator="equal">
      <formula>"No"</formula>
    </cfRule>
  </conditionalFormatting>
  <conditionalFormatting sqref="P83">
    <cfRule type="cellIs" dxfId="227" priority="242" operator="equal">
      <formula>"No"</formula>
    </cfRule>
  </conditionalFormatting>
  <conditionalFormatting sqref="E10">
    <cfRule type="cellIs" dxfId="226" priority="226" operator="equal">
      <formula>"No"</formula>
    </cfRule>
  </conditionalFormatting>
  <conditionalFormatting sqref="P136">
    <cfRule type="cellIs" dxfId="225" priority="232" operator="equal">
      <formula>"No"</formula>
    </cfRule>
  </conditionalFormatting>
  <conditionalFormatting sqref="O23">
    <cfRule type="cellIs" dxfId="224" priority="224" operator="equal">
      <formula>"No"</formula>
    </cfRule>
  </conditionalFormatting>
  <conditionalFormatting sqref="N77:P77">
    <cfRule type="cellIs" dxfId="223" priority="212" operator="equal">
      <formula>"No"</formula>
    </cfRule>
  </conditionalFormatting>
  <conditionalFormatting sqref="P135">
    <cfRule type="cellIs" dxfId="222" priority="225" operator="equal">
      <formula>"No"</formula>
    </cfRule>
  </conditionalFormatting>
  <conditionalFormatting sqref="P23">
    <cfRule type="cellIs" dxfId="221" priority="223" operator="equal">
      <formula>"No"</formula>
    </cfRule>
  </conditionalFormatting>
  <conditionalFormatting sqref="N53:P53">
    <cfRule type="cellIs" dxfId="220" priority="217" operator="equal">
      <formula>"No"</formula>
    </cfRule>
  </conditionalFormatting>
  <conditionalFormatting sqref="N72">
    <cfRule type="cellIs" dxfId="219" priority="216" operator="equal">
      <formula>"No"</formula>
    </cfRule>
  </conditionalFormatting>
  <conditionalFormatting sqref="O72">
    <cfRule type="cellIs" dxfId="218" priority="215" operator="equal">
      <formula>"No"</formula>
    </cfRule>
  </conditionalFormatting>
  <conditionalFormatting sqref="P72">
    <cfRule type="cellIs" dxfId="217" priority="214" operator="equal">
      <formula>"No"</formula>
    </cfRule>
  </conditionalFormatting>
  <conditionalFormatting sqref="O104">
    <cfRule type="cellIs" dxfId="216" priority="210" operator="equal">
      <formula>"No"</formula>
    </cfRule>
  </conditionalFormatting>
  <conditionalFormatting sqref="N104:P104">
    <cfRule type="cellIs" dxfId="215" priority="211" operator="equal">
      <formula>"No"</formula>
    </cfRule>
  </conditionalFormatting>
  <conditionalFormatting sqref="O109">
    <cfRule type="cellIs" dxfId="214" priority="203" operator="equal">
      <formula>"No"</formula>
    </cfRule>
  </conditionalFormatting>
  <conditionalFormatting sqref="P104">
    <cfRule type="cellIs" dxfId="213" priority="209" operator="equal">
      <formula>"No"</formula>
    </cfRule>
  </conditionalFormatting>
  <conditionalFormatting sqref="N109">
    <cfRule type="cellIs" dxfId="212" priority="204" operator="equal">
      <formula>"No"</formula>
    </cfRule>
  </conditionalFormatting>
  <conditionalFormatting sqref="P109">
    <cfRule type="cellIs" dxfId="211" priority="202" operator="equal">
      <formula>"No"</formula>
    </cfRule>
  </conditionalFormatting>
  <conditionalFormatting sqref="N114">
    <cfRule type="cellIs" dxfId="210" priority="198" operator="equal">
      <formula>"No"</formula>
    </cfRule>
  </conditionalFormatting>
  <conditionalFormatting sqref="N120">
    <cfRule type="cellIs" dxfId="209" priority="192" operator="equal">
      <formula>"No"</formula>
    </cfRule>
  </conditionalFormatting>
  <conditionalFormatting sqref="O114">
    <cfRule type="cellIs" dxfId="208" priority="197" operator="equal">
      <formula>"No"</formula>
    </cfRule>
  </conditionalFormatting>
  <conditionalFormatting sqref="P114">
    <cfRule type="cellIs" dxfId="207" priority="196" operator="equal">
      <formula>"No"</formula>
    </cfRule>
  </conditionalFormatting>
  <conditionalFormatting sqref="O120">
    <cfRule type="cellIs" dxfId="206" priority="191" operator="equal">
      <formula>"No"</formula>
    </cfRule>
  </conditionalFormatting>
  <conditionalFormatting sqref="P120">
    <cfRule type="cellIs" dxfId="205" priority="190" operator="equal">
      <formula>"No"</formula>
    </cfRule>
  </conditionalFormatting>
  <conditionalFormatting sqref="N125:N126 N130:N132">
    <cfRule type="cellIs" dxfId="204" priority="189" operator="equal">
      <formula>"No"</formula>
    </cfRule>
  </conditionalFormatting>
  <conditionalFormatting sqref="O125:O126 O130:O132">
    <cfRule type="cellIs" dxfId="203" priority="182" operator="equal">
      <formula>"No"</formula>
    </cfRule>
  </conditionalFormatting>
  <conditionalFormatting sqref="P125:P126 P130 P132">
    <cfRule type="cellIs" dxfId="202" priority="181" operator="equal">
      <formula>"No"</formula>
    </cfRule>
  </conditionalFormatting>
  <conditionalFormatting sqref="K34 K16:K17">
    <cfRule type="cellIs" dxfId="201" priority="173" operator="equal">
      <formula>"No"</formula>
    </cfRule>
  </conditionalFormatting>
  <conditionalFormatting sqref="K99">
    <cfRule type="cellIs" dxfId="200" priority="172" operator="equal">
      <formula>"No"</formula>
    </cfRule>
  </conditionalFormatting>
  <conditionalFormatting sqref="I23">
    <cfRule type="cellIs" dxfId="199" priority="171" operator="equal">
      <formula>"No"</formula>
    </cfRule>
  </conditionalFormatting>
  <conditionalFormatting sqref="I28:K28">
    <cfRule type="cellIs" dxfId="198" priority="170" operator="equal">
      <formula>"No"</formula>
    </cfRule>
  </conditionalFormatting>
  <conditionalFormatting sqref="I104">
    <cfRule type="cellIs" dxfId="197" priority="169" operator="equal">
      <formula>"No"</formula>
    </cfRule>
  </conditionalFormatting>
  <conditionalFormatting sqref="K46">
    <cfRule type="cellIs" dxfId="196" priority="165" operator="equal">
      <formula>"No"</formula>
    </cfRule>
  </conditionalFormatting>
  <conditionalFormatting sqref="K42">
    <cfRule type="cellIs" dxfId="195" priority="166" operator="equal">
      <formula>"No"</formula>
    </cfRule>
  </conditionalFormatting>
  <conditionalFormatting sqref="K56">
    <cfRule type="cellIs" dxfId="194" priority="164" operator="equal">
      <formula>"No"</formula>
    </cfRule>
  </conditionalFormatting>
  <conditionalFormatting sqref="K64">
    <cfRule type="cellIs" dxfId="193" priority="163" operator="equal">
      <formula>"No"</formula>
    </cfRule>
  </conditionalFormatting>
  <conditionalFormatting sqref="K65">
    <cfRule type="cellIs" dxfId="192" priority="162" operator="equal">
      <formula>"No"</formula>
    </cfRule>
  </conditionalFormatting>
  <conditionalFormatting sqref="K66">
    <cfRule type="cellIs" dxfId="191" priority="161" operator="equal">
      <formula>"No"</formula>
    </cfRule>
  </conditionalFormatting>
  <conditionalFormatting sqref="K83">
    <cfRule type="cellIs" dxfId="190" priority="160" operator="equal">
      <formula>"No"</formula>
    </cfRule>
  </conditionalFormatting>
  <conditionalFormatting sqref="K136">
    <cfRule type="cellIs" dxfId="189" priority="159" operator="equal">
      <formula>"No"</formula>
    </cfRule>
  </conditionalFormatting>
  <conditionalFormatting sqref="J23">
    <cfRule type="cellIs" dxfId="188" priority="157" operator="equal">
      <formula>"No"</formula>
    </cfRule>
  </conditionalFormatting>
  <conditionalFormatting sqref="I77:K77">
    <cfRule type="cellIs" dxfId="187" priority="151" operator="equal">
      <formula>"No"</formula>
    </cfRule>
  </conditionalFormatting>
  <conditionalFormatting sqref="K135">
    <cfRule type="cellIs" dxfId="186" priority="158" operator="equal">
      <formula>"No"</formula>
    </cfRule>
  </conditionalFormatting>
  <conditionalFormatting sqref="K23">
    <cfRule type="cellIs" dxfId="185" priority="156" operator="equal">
      <formula>"No"</formula>
    </cfRule>
  </conditionalFormatting>
  <conditionalFormatting sqref="I53:K53">
    <cfRule type="cellIs" dxfId="184" priority="155" operator="equal">
      <formula>"No"</formula>
    </cfRule>
  </conditionalFormatting>
  <conditionalFormatting sqref="I72">
    <cfRule type="cellIs" dxfId="183" priority="154" operator="equal">
      <formula>"No"</formula>
    </cfRule>
  </conditionalFormatting>
  <conditionalFormatting sqref="J72">
    <cfRule type="cellIs" dxfId="182" priority="153" operator="equal">
      <formula>"No"</formula>
    </cfRule>
  </conditionalFormatting>
  <conditionalFormatting sqref="K72">
    <cfRule type="cellIs" dxfId="181" priority="152" operator="equal">
      <formula>"No"</formula>
    </cfRule>
  </conditionalFormatting>
  <conditionalFormatting sqref="J104">
    <cfRule type="cellIs" dxfId="180" priority="149" operator="equal">
      <formula>"No"</formula>
    </cfRule>
  </conditionalFormatting>
  <conditionalFormatting sqref="I104:K104">
    <cfRule type="cellIs" dxfId="179" priority="150" operator="equal">
      <formula>"No"</formula>
    </cfRule>
  </conditionalFormatting>
  <conditionalFormatting sqref="J109">
    <cfRule type="cellIs" dxfId="178" priority="146" operator="equal">
      <formula>"No"</formula>
    </cfRule>
  </conditionalFormatting>
  <conditionalFormatting sqref="K104">
    <cfRule type="cellIs" dxfId="177" priority="148" operator="equal">
      <formula>"No"</formula>
    </cfRule>
  </conditionalFormatting>
  <conditionalFormatting sqref="I109">
    <cfRule type="cellIs" dxfId="176" priority="147" operator="equal">
      <formula>"No"</formula>
    </cfRule>
  </conditionalFormatting>
  <conditionalFormatting sqref="K109">
    <cfRule type="cellIs" dxfId="175" priority="145" operator="equal">
      <formula>"No"</formula>
    </cfRule>
  </conditionalFormatting>
  <conditionalFormatting sqref="I114">
    <cfRule type="cellIs" dxfId="174" priority="144" operator="equal">
      <formula>"No"</formula>
    </cfRule>
  </conditionalFormatting>
  <conditionalFormatting sqref="I120">
    <cfRule type="cellIs" dxfId="173" priority="141" operator="equal">
      <formula>"No"</formula>
    </cfRule>
  </conditionalFormatting>
  <conditionalFormatting sqref="J114">
    <cfRule type="cellIs" dxfId="172" priority="143" operator="equal">
      <formula>"No"</formula>
    </cfRule>
  </conditionalFormatting>
  <conditionalFormatting sqref="K114">
    <cfRule type="cellIs" dxfId="171" priority="142" operator="equal">
      <formula>"No"</formula>
    </cfRule>
  </conditionalFormatting>
  <conditionalFormatting sqref="J120">
    <cfRule type="cellIs" dxfId="170" priority="140" operator="equal">
      <formula>"No"</formula>
    </cfRule>
  </conditionalFormatting>
  <conditionalFormatting sqref="K120">
    <cfRule type="cellIs" dxfId="169" priority="139" operator="equal">
      <formula>"No"</formula>
    </cfRule>
  </conditionalFormatting>
  <conditionalFormatting sqref="K147">
    <cfRule type="cellIs" dxfId="168" priority="135" operator="equal">
      <formula>"No"</formula>
    </cfRule>
  </conditionalFormatting>
  <conditionalFormatting sqref="K150">
    <cfRule type="cellIs" dxfId="167" priority="131" operator="equal">
      <formula>"No"</formula>
    </cfRule>
  </conditionalFormatting>
  <conditionalFormatting sqref="K35">
    <cfRule type="cellIs" dxfId="166" priority="129" operator="equal">
      <formula>"No"</formula>
    </cfRule>
  </conditionalFormatting>
  <conditionalFormatting sqref="K58">
    <cfRule type="cellIs" dxfId="165" priority="128" operator="equal">
      <formula>"No"</formula>
    </cfRule>
  </conditionalFormatting>
  <conditionalFormatting sqref="K92">
    <cfRule type="cellIs" dxfId="164" priority="125" operator="equal">
      <formula>"No"</formula>
    </cfRule>
  </conditionalFormatting>
  <conditionalFormatting sqref="K93">
    <cfRule type="cellIs" dxfId="163" priority="124" operator="equal">
      <formula>"No"</formula>
    </cfRule>
  </conditionalFormatting>
  <conditionalFormatting sqref="K151">
    <cfRule type="cellIs" dxfId="162" priority="121" operator="equal">
      <formula>"No"</formula>
    </cfRule>
  </conditionalFormatting>
  <conditionalFormatting sqref="K41">
    <cfRule type="cellIs" dxfId="161" priority="120" operator="equal">
      <formula>"No"</formula>
    </cfRule>
  </conditionalFormatting>
  <conditionalFormatting sqref="P41">
    <cfRule type="cellIs" dxfId="160" priority="119" operator="equal">
      <formula>"No"</formula>
    </cfRule>
  </conditionalFormatting>
  <conditionalFormatting sqref="K131">
    <cfRule type="cellIs" dxfId="159" priority="115" operator="equal">
      <formula>"No"</formula>
    </cfRule>
  </conditionalFormatting>
  <conditionalFormatting sqref="P35">
    <cfRule type="cellIs" dxfId="158" priority="112" operator="equal">
      <formula>"No"</formula>
    </cfRule>
  </conditionalFormatting>
  <conditionalFormatting sqref="P32">
    <cfRule type="cellIs" dxfId="157" priority="113" operator="equal">
      <formula>"No"</formula>
    </cfRule>
  </conditionalFormatting>
  <conditionalFormatting sqref="P58">
    <cfRule type="cellIs" dxfId="156" priority="111" operator="equal">
      <formula>"No"</formula>
    </cfRule>
  </conditionalFormatting>
  <conditionalFormatting sqref="P92">
    <cfRule type="cellIs" dxfId="155" priority="109" operator="equal">
      <formula>"No"</formula>
    </cfRule>
  </conditionalFormatting>
  <conditionalFormatting sqref="P93">
    <cfRule type="cellIs" dxfId="154" priority="108" operator="equal">
      <formula>"No"</formula>
    </cfRule>
  </conditionalFormatting>
  <conditionalFormatting sqref="P131">
    <cfRule type="cellIs" dxfId="153" priority="107" operator="equal">
      <formula>"No"</formula>
    </cfRule>
  </conditionalFormatting>
  <conditionalFormatting sqref="I32">
    <cfRule type="cellIs" dxfId="152" priority="104" operator="equal">
      <formula>"No"</formula>
    </cfRule>
  </conditionalFormatting>
  <conditionalFormatting sqref="O32">
    <cfRule type="cellIs" dxfId="151" priority="103" operator="equal">
      <formula>"No"</formula>
    </cfRule>
  </conditionalFormatting>
  <conditionalFormatting sqref="N32">
    <cfRule type="cellIs" dxfId="150" priority="102" operator="equal">
      <formula>"No"</formula>
    </cfRule>
  </conditionalFormatting>
  <conditionalFormatting sqref="P81">
    <cfRule type="cellIs" dxfId="149" priority="98" operator="equal">
      <formula>"No"</formula>
    </cfRule>
  </conditionalFormatting>
  <conditionalFormatting sqref="N81">
    <cfRule type="cellIs" dxfId="148" priority="96" operator="equal">
      <formula>"No"</formula>
    </cfRule>
  </conditionalFormatting>
  <conditionalFormatting sqref="O81">
    <cfRule type="cellIs" dxfId="147" priority="97" operator="equal">
      <formula>"No"</formula>
    </cfRule>
  </conditionalFormatting>
  <conditionalFormatting sqref="O21">
    <cfRule type="cellIs" dxfId="146" priority="92" operator="equal">
      <formula>0</formula>
    </cfRule>
  </conditionalFormatting>
  <conditionalFormatting sqref="N21">
    <cfRule type="cellIs" dxfId="145" priority="91" operator="equal">
      <formula>0</formula>
    </cfRule>
  </conditionalFormatting>
  <conditionalFormatting sqref="P21">
    <cfRule type="cellIs" dxfId="144" priority="90" operator="equal">
      <formula>0</formula>
    </cfRule>
  </conditionalFormatting>
  <conditionalFormatting sqref="N26">
    <cfRule type="cellIs" dxfId="143" priority="89" operator="equal">
      <formula>0</formula>
    </cfRule>
  </conditionalFormatting>
  <conditionalFormatting sqref="O26">
    <cfRule type="cellIs" dxfId="142" priority="88" operator="equal">
      <formula>0</formula>
    </cfRule>
  </conditionalFormatting>
  <conditionalFormatting sqref="P26">
    <cfRule type="cellIs" dxfId="141" priority="87" operator="equal">
      <formula>0</formula>
    </cfRule>
  </conditionalFormatting>
  <conditionalFormatting sqref="N51">
    <cfRule type="cellIs" dxfId="140" priority="86" operator="equal">
      <formula>0</formula>
    </cfRule>
  </conditionalFormatting>
  <conditionalFormatting sqref="O51">
    <cfRule type="cellIs" dxfId="139" priority="85" operator="equal">
      <formula>0</formula>
    </cfRule>
  </conditionalFormatting>
  <conditionalFormatting sqref="P51">
    <cfRule type="cellIs" dxfId="138" priority="84" operator="equal">
      <formula>0</formula>
    </cfRule>
  </conditionalFormatting>
  <conditionalFormatting sqref="N70">
    <cfRule type="cellIs" dxfId="137" priority="83" operator="equal">
      <formula>0</formula>
    </cfRule>
  </conditionalFormatting>
  <conditionalFormatting sqref="O70">
    <cfRule type="cellIs" dxfId="136" priority="82" operator="equal">
      <formula>0</formula>
    </cfRule>
  </conditionalFormatting>
  <conditionalFormatting sqref="P70">
    <cfRule type="cellIs" dxfId="135" priority="81" operator="equal">
      <formula>0</formula>
    </cfRule>
  </conditionalFormatting>
  <conditionalFormatting sqref="N75">
    <cfRule type="cellIs" dxfId="134" priority="80" operator="equal">
      <formula>0</formula>
    </cfRule>
  </conditionalFormatting>
  <conditionalFormatting sqref="O75">
    <cfRule type="cellIs" dxfId="133" priority="79" operator="equal">
      <formula>0</formula>
    </cfRule>
  </conditionalFormatting>
  <conditionalFormatting sqref="P75">
    <cfRule type="cellIs" dxfId="132" priority="78" operator="equal">
      <formula>0</formula>
    </cfRule>
  </conditionalFormatting>
  <conditionalFormatting sqref="N102">
    <cfRule type="cellIs" dxfId="131" priority="77" operator="equal">
      <formula>0</formula>
    </cfRule>
  </conditionalFormatting>
  <conditionalFormatting sqref="O102">
    <cfRule type="cellIs" dxfId="130" priority="76" operator="equal">
      <formula>0</formula>
    </cfRule>
  </conditionalFormatting>
  <conditionalFormatting sqref="P102">
    <cfRule type="cellIs" dxfId="129" priority="75" operator="equal">
      <formula>0</formula>
    </cfRule>
  </conditionalFormatting>
  <conditionalFormatting sqref="N107">
    <cfRule type="cellIs" dxfId="128" priority="74" operator="equal">
      <formula>0</formula>
    </cfRule>
  </conditionalFormatting>
  <conditionalFormatting sqref="O107">
    <cfRule type="cellIs" dxfId="127" priority="73" operator="equal">
      <formula>0</formula>
    </cfRule>
  </conditionalFormatting>
  <conditionalFormatting sqref="P107">
    <cfRule type="cellIs" dxfId="126" priority="72" operator="equal">
      <formula>0</formula>
    </cfRule>
  </conditionalFormatting>
  <conditionalFormatting sqref="N112">
    <cfRule type="cellIs" dxfId="125" priority="71" operator="equal">
      <formula>0</formula>
    </cfRule>
  </conditionalFormatting>
  <conditionalFormatting sqref="O112">
    <cfRule type="cellIs" dxfId="124" priority="70" operator="equal">
      <formula>0</formula>
    </cfRule>
  </conditionalFormatting>
  <conditionalFormatting sqref="P112">
    <cfRule type="cellIs" dxfId="123" priority="69" operator="equal">
      <formula>0</formula>
    </cfRule>
  </conditionalFormatting>
  <conditionalFormatting sqref="N118">
    <cfRule type="cellIs" dxfId="122" priority="68" operator="equal">
      <formula>0</formula>
    </cfRule>
  </conditionalFormatting>
  <conditionalFormatting sqref="O118">
    <cfRule type="cellIs" dxfId="121" priority="67" operator="equal">
      <formula>0</formula>
    </cfRule>
  </conditionalFormatting>
  <conditionalFormatting sqref="P118">
    <cfRule type="cellIs" dxfId="120" priority="66" operator="equal">
      <formula>0</formula>
    </cfRule>
  </conditionalFormatting>
  <conditionalFormatting sqref="N128">
    <cfRule type="cellIs" dxfId="119" priority="65" operator="equal">
      <formula>0</formula>
    </cfRule>
  </conditionalFormatting>
  <conditionalFormatting sqref="O128">
    <cfRule type="cellIs" dxfId="118" priority="64" operator="equal">
      <formula>0</formula>
    </cfRule>
  </conditionalFormatting>
  <conditionalFormatting sqref="P128">
    <cfRule type="cellIs" dxfId="117" priority="63" operator="equal">
      <formula>0</formula>
    </cfRule>
  </conditionalFormatting>
  <conditionalFormatting sqref="N129">
    <cfRule type="cellIs" dxfId="116" priority="62" operator="equal">
      <formula>0</formula>
    </cfRule>
  </conditionalFormatting>
  <conditionalFormatting sqref="O129">
    <cfRule type="cellIs" dxfId="115" priority="61" operator="equal">
      <formula>0</formula>
    </cfRule>
  </conditionalFormatting>
  <conditionalFormatting sqref="P129">
    <cfRule type="cellIs" dxfId="114" priority="60" operator="equal">
      <formula>0</formula>
    </cfRule>
  </conditionalFormatting>
  <conditionalFormatting sqref="N139">
    <cfRule type="cellIs" dxfId="113" priority="59" operator="equal">
      <formula>0</formula>
    </cfRule>
  </conditionalFormatting>
  <conditionalFormatting sqref="O139">
    <cfRule type="cellIs" dxfId="112" priority="58" operator="equal">
      <formula>0</formula>
    </cfRule>
  </conditionalFormatting>
  <conditionalFormatting sqref="P139">
    <cfRule type="cellIs" dxfId="111" priority="57" operator="equal">
      <formula>0</formula>
    </cfRule>
  </conditionalFormatting>
  <conditionalFormatting sqref="N140">
    <cfRule type="cellIs" dxfId="110" priority="56" operator="equal">
      <formula>0</formula>
    </cfRule>
  </conditionalFormatting>
  <conditionalFormatting sqref="O140">
    <cfRule type="cellIs" dxfId="109" priority="55" operator="equal">
      <formula>0</formula>
    </cfRule>
  </conditionalFormatting>
  <conditionalFormatting sqref="P140">
    <cfRule type="cellIs" dxfId="108" priority="54" operator="equal">
      <formula>0</formula>
    </cfRule>
  </conditionalFormatting>
  <conditionalFormatting sqref="N141">
    <cfRule type="cellIs" dxfId="107" priority="53" operator="equal">
      <formula>0</formula>
    </cfRule>
  </conditionalFormatting>
  <conditionalFormatting sqref="O141">
    <cfRule type="cellIs" dxfId="106" priority="52" operator="equal">
      <formula>0</formula>
    </cfRule>
  </conditionalFormatting>
  <conditionalFormatting sqref="P141">
    <cfRule type="cellIs" dxfId="105" priority="51" operator="equal">
      <formula>0</formula>
    </cfRule>
  </conditionalFormatting>
  <conditionalFormatting sqref="K148">
    <cfRule type="cellIs" dxfId="104" priority="50" operator="equal">
      <formula>"No"</formula>
    </cfRule>
  </conditionalFormatting>
  <conditionalFormatting sqref="K149">
    <cfRule type="cellIs" dxfId="103" priority="49" operator="equal">
      <formula>"No"</formula>
    </cfRule>
  </conditionalFormatting>
  <conditionalFormatting sqref="P147">
    <cfRule type="cellIs" dxfId="102" priority="48" operator="equal">
      <formula>"No"</formula>
    </cfRule>
  </conditionalFormatting>
  <conditionalFormatting sqref="P150">
    <cfRule type="cellIs" dxfId="101" priority="47" operator="equal">
      <formula>"No"</formula>
    </cfRule>
  </conditionalFormatting>
  <conditionalFormatting sqref="P148">
    <cfRule type="cellIs" dxfId="100" priority="46" operator="equal">
      <formula>"No"</formula>
    </cfRule>
  </conditionalFormatting>
  <conditionalFormatting sqref="P149">
    <cfRule type="cellIs" dxfId="99" priority="45" operator="equal">
      <formula>"No"</formula>
    </cfRule>
  </conditionalFormatting>
  <conditionalFormatting sqref="I142:K142">
    <cfRule type="cellIs" dxfId="98" priority="44" operator="equal">
      <formula>"No"</formula>
    </cfRule>
  </conditionalFormatting>
  <conditionalFormatting sqref="N142:P142">
    <cfRule type="cellIs" dxfId="97" priority="43" operator="equal">
      <formula>"No"</formula>
    </cfRule>
  </conditionalFormatting>
  <conditionalFormatting sqref="P96">
    <cfRule type="cellIs" dxfId="96" priority="42" operator="equal">
      <formula>0</formula>
    </cfRule>
  </conditionalFormatting>
  <conditionalFormatting sqref="K89">
    <cfRule type="cellIs" dxfId="95" priority="41" operator="equal">
      <formula>"No"</formula>
    </cfRule>
  </conditionalFormatting>
  <conditionalFormatting sqref="P89">
    <cfRule type="cellIs" dxfId="94" priority="40" operator="equal">
      <formula>"No"</formula>
    </cfRule>
  </conditionalFormatting>
  <conditionalFormatting sqref="J32">
    <cfRule type="cellIs" dxfId="93" priority="39" operator="equal">
      <formula>"No"</formula>
    </cfRule>
  </conditionalFormatting>
  <conditionalFormatting sqref="K32">
    <cfRule type="cellIs" dxfId="92" priority="38" operator="equal">
      <formula>"No"</formula>
    </cfRule>
  </conditionalFormatting>
  <conditionalFormatting sqref="P13">
    <cfRule type="cellIs" dxfId="91" priority="37" operator="equal">
      <formula>"No"</formula>
    </cfRule>
  </conditionalFormatting>
  <conditionalFormatting sqref="K81">
    <cfRule type="cellIs" dxfId="90" priority="31" operator="equal">
      <formula>"No"</formula>
    </cfRule>
  </conditionalFormatting>
  <conditionalFormatting sqref="P38">
    <cfRule type="cellIs" dxfId="89" priority="35" operator="equal">
      <formula>"No"</formula>
    </cfRule>
  </conditionalFormatting>
  <conditionalFormatting sqref="P61">
    <cfRule type="cellIs" dxfId="88" priority="34" operator="equal">
      <formula>"No"</formula>
    </cfRule>
  </conditionalFormatting>
  <conditionalFormatting sqref="I81">
    <cfRule type="cellIs" dxfId="87" priority="33" operator="equal">
      <formula>"No"</formula>
    </cfRule>
  </conditionalFormatting>
  <conditionalFormatting sqref="J81">
    <cfRule type="cellIs" dxfId="86" priority="32" operator="equal">
      <formula>"No"</formula>
    </cfRule>
  </conditionalFormatting>
  <conditionalFormatting sqref="P86">
    <cfRule type="cellIs" dxfId="85" priority="30" operator="equal">
      <formula>"No"</formula>
    </cfRule>
  </conditionalFormatting>
  <conditionalFormatting sqref="I21">
    <cfRule type="cellIs" dxfId="84" priority="29" operator="equal">
      <formula>""</formula>
    </cfRule>
  </conditionalFormatting>
  <conditionalFormatting sqref="I26">
    <cfRule type="cellIs" dxfId="83" priority="28" operator="equal">
      <formula>""</formula>
    </cfRule>
  </conditionalFormatting>
  <conditionalFormatting sqref="N22">
    <cfRule type="cellIs" dxfId="82" priority="23" operator="equal">
      <formula>""</formula>
    </cfRule>
  </conditionalFormatting>
  <conditionalFormatting sqref="N27">
    <cfRule type="cellIs" dxfId="81" priority="22" operator="equal">
      <formula>""</formula>
    </cfRule>
  </conditionalFormatting>
  <conditionalFormatting sqref="I51">
    <cfRule type="cellIs" dxfId="80" priority="21" operator="equal">
      <formula>""</formula>
    </cfRule>
  </conditionalFormatting>
  <conditionalFormatting sqref="N52">
    <cfRule type="cellIs" dxfId="79" priority="20" operator="equal">
      <formula>""</formula>
    </cfRule>
  </conditionalFormatting>
  <conditionalFormatting sqref="I70">
    <cfRule type="cellIs" dxfId="78" priority="19" operator="equal">
      <formula>""</formula>
    </cfRule>
  </conditionalFormatting>
  <conditionalFormatting sqref="I75">
    <cfRule type="cellIs" dxfId="77" priority="18" operator="equal">
      <formula>""</formula>
    </cfRule>
  </conditionalFormatting>
  <conditionalFormatting sqref="N71">
    <cfRule type="cellIs" dxfId="76" priority="17" operator="equal">
      <formula>""</formula>
    </cfRule>
  </conditionalFormatting>
  <conditionalFormatting sqref="N76">
    <cfRule type="cellIs" dxfId="75" priority="16" operator="equal">
      <formula>""</formula>
    </cfRule>
  </conditionalFormatting>
  <conditionalFormatting sqref="K96">
    <cfRule type="cellIs" dxfId="74" priority="15" operator="equal">
      <formula>""</formula>
    </cfRule>
  </conditionalFormatting>
  <conditionalFormatting sqref="P97">
    <cfRule type="cellIs" dxfId="73" priority="14" operator="equal">
      <formula>""</formula>
    </cfRule>
  </conditionalFormatting>
  <conditionalFormatting sqref="I102">
    <cfRule type="cellIs" dxfId="72" priority="13" operator="equal">
      <formula>""</formula>
    </cfRule>
  </conditionalFormatting>
  <conditionalFormatting sqref="N103">
    <cfRule type="cellIs" dxfId="71" priority="12" operator="equal">
      <formula>""</formula>
    </cfRule>
  </conditionalFormatting>
  <conditionalFormatting sqref="I107">
    <cfRule type="cellIs" dxfId="70" priority="11" operator="equal">
      <formula>""</formula>
    </cfRule>
  </conditionalFormatting>
  <conditionalFormatting sqref="N108">
    <cfRule type="cellIs" dxfId="69" priority="10" operator="equal">
      <formula>""</formula>
    </cfRule>
  </conditionalFormatting>
  <conditionalFormatting sqref="I112">
    <cfRule type="cellIs" dxfId="68" priority="9" operator="equal">
      <formula>""</formula>
    </cfRule>
  </conditionalFormatting>
  <conditionalFormatting sqref="N113">
    <cfRule type="cellIs" dxfId="67" priority="8" operator="equal">
      <formula>""</formula>
    </cfRule>
  </conditionalFormatting>
  <conditionalFormatting sqref="I128">
    <cfRule type="cellIs" dxfId="66" priority="7" operator="equal">
      <formula>""</formula>
    </cfRule>
  </conditionalFormatting>
  <conditionalFormatting sqref="I129">
    <cfRule type="cellIs" dxfId="65" priority="6" operator="equal">
      <formula>""</formula>
    </cfRule>
  </conditionalFormatting>
  <conditionalFormatting sqref="I139">
    <cfRule type="cellIs" dxfId="64" priority="5" operator="equal">
      <formula>""</formula>
    </cfRule>
  </conditionalFormatting>
  <conditionalFormatting sqref="I118">
    <cfRule type="expression" dxfId="63" priority="4">
      <formula>AND(I118="",I123="N/A")</formula>
    </cfRule>
  </conditionalFormatting>
  <conditionalFormatting sqref="I123">
    <cfRule type="expression" dxfId="62" priority="3">
      <formula>AND(I118="",I123="N/A")</formula>
    </cfRule>
  </conditionalFormatting>
  <conditionalFormatting sqref="N119">
    <cfRule type="expression" dxfId="61" priority="2">
      <formula>AND(N119="",N124="")</formula>
    </cfRule>
  </conditionalFormatting>
  <conditionalFormatting sqref="N124">
    <cfRule type="expression" dxfId="60" priority="1">
      <formula>AND(N119="",N124="")</formula>
    </cfRule>
  </conditionalFormatting>
  <dataValidations count="5">
    <dataValidation type="list" allowBlank="1" showInputMessage="1" showErrorMessage="1" sqref="K46 P56 P41:P42 K64:K66 P34 P83 K16:K17 P46 P64:P66 K56 K41:K42 P16:P17 K135:K136 K83 K34:K35 K92:K93 K89 P135:P136 K58" xr:uid="{00000000-0002-0000-0000-000000000000}">
      <formula1>"Yes,No"</formula1>
    </dataValidation>
    <dataValidation type="list" allowBlank="1" showInputMessage="1" showErrorMessage="1" sqref="E15 G14:G15" xr:uid="{230F0803-58D4-4767-954F-A12558C145B3}">
      <formula1>"Dwelling or townhouse or unit within, Unit in a multifamily building w/ heat gain ≤18 kBTUh &amp; loss ≤35 kBTUh, Unit in a multifamily building w/ heat gain &gt;18 kBTUh or loss &gt;35kBTUh"</formula1>
    </dataValidation>
    <dataValidation type="list" allowBlank="1" showInputMessage="1" showErrorMessage="1" sqref="E10:I10" xr:uid="{3ACEF4A7-5380-429F-8CE7-41A4DD2DB3C8}">
      <formula1>"Dwelling or townhouse or unit within, Unit in a multifamily building w/ heat gain ≤18 kBTUh &amp; heat loss ≤35 kBTUh, Unit in a multifamily building w/ heat gain &gt;18 kBTUh or heat loss &gt;35 kBTUh"</formula1>
    </dataValidation>
    <dataValidation type="list" allowBlank="1" showInputMessage="1" showErrorMessage="1" sqref="I32:K32 I81:K81" xr:uid="{75CC9E27-B822-4D87-BBC4-CD3DF874C735}">
      <formula1>"N/A,Yes,No"</formula1>
    </dataValidation>
    <dataValidation type="list" allowBlank="1" showInputMessage="1" showErrorMessage="1" sqref="I123:K123" xr:uid="{8EF2C027-15F5-4189-856B-4D117086DBFB}">
      <formula1>"N/A,Tight, Semi-Tight, Average, Semi-Leaky, Leaky"</formula1>
    </dataValidation>
  </dataValidations>
  <pageMargins left="0.4" right="0.4" top="0.4" bottom="0.4" header="0.3" footer="0.3"/>
  <pageSetup scale="55" orientation="portrait" horizontalDpi="1200" verticalDpi="1200" r:id="rId1"/>
  <headerFooter>
    <oddFooter>&amp;C&amp;A&amp;Rv1.3</oddFooter>
  </headerFooter>
  <rowBreaks count="1" manualBreakCount="1">
    <brk id="84" max="1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theme="4" tint="0.79998168889431442"/>
  </sheetPr>
  <dimension ref="A1:P71"/>
  <sheetViews>
    <sheetView showGridLines="0" zoomScaleNormal="100" workbookViewId="0">
      <selection activeCell="H8" sqref="H8"/>
    </sheetView>
  </sheetViews>
  <sheetFormatPr defaultColWidth="9.28515625" defaultRowHeight="15" x14ac:dyDescent="0.25"/>
  <cols>
    <col min="1" max="1" width="1.7109375" style="8" customWidth="1"/>
    <col min="2" max="5" width="9.7109375" style="8" customWidth="1"/>
    <col min="6" max="6" width="11" style="8" customWidth="1"/>
    <col min="7" max="7" width="13.7109375" style="8" customWidth="1"/>
    <col min="8" max="8" width="9.7109375" style="8" customWidth="1"/>
    <col min="9" max="9" width="16.7109375" style="8" customWidth="1"/>
    <col min="10" max="10" width="17.5703125" style="27" customWidth="1"/>
    <col min="11" max="11" width="2.28515625" style="8" customWidth="1"/>
    <col min="12" max="12" width="11" style="8" customWidth="1"/>
    <col min="13" max="13" width="46.42578125" style="8" customWidth="1"/>
    <col min="14" max="14" width="8.28515625" style="8" customWidth="1"/>
    <col min="15" max="16384" width="9.28515625" style="8"/>
  </cols>
  <sheetData>
    <row r="1" spans="1:16" ht="16.149999999999999" customHeight="1" x14ac:dyDescent="0.25">
      <c r="A1" s="1" t="s">
        <v>405</v>
      </c>
      <c r="J1" s="403" t="s">
        <v>183</v>
      </c>
      <c r="K1" s="61"/>
      <c r="N1"/>
      <c r="O1"/>
      <c r="P1"/>
    </row>
    <row r="2" spans="1:16" ht="16.149999999999999" customHeight="1" x14ac:dyDescent="0.25">
      <c r="A2" s="1" t="s">
        <v>383</v>
      </c>
      <c r="J2" s="403"/>
      <c r="K2" s="182"/>
      <c r="L2" s="183" t="s">
        <v>11</v>
      </c>
      <c r="M2" s="184"/>
      <c r="N2"/>
      <c r="O2"/>
      <c r="P2"/>
    </row>
    <row r="3" spans="1:16" ht="16.149999999999999" customHeight="1" thickBot="1" x14ac:dyDescent="0.3">
      <c r="A3" s="1" t="s">
        <v>25</v>
      </c>
      <c r="J3" s="65"/>
      <c r="K3" s="185"/>
      <c r="L3" s="179">
        <v>123</v>
      </c>
      <c r="M3" s="186" t="s">
        <v>1</v>
      </c>
      <c r="N3"/>
      <c r="O3"/>
      <c r="P3"/>
    </row>
    <row r="4" spans="1:16" ht="16.149999999999999" customHeight="1" thickBot="1" x14ac:dyDescent="0.3">
      <c r="A4" s="1"/>
      <c r="B4" s="418" t="s">
        <v>184</v>
      </c>
      <c r="C4" s="418"/>
      <c r="D4" s="418"/>
      <c r="E4" s="418"/>
      <c r="F4" s="418"/>
      <c r="G4" s="418"/>
      <c r="H4" s="2" t="str">
        <f>'1. HVAC Design Review'!P151</f>
        <v>No</v>
      </c>
      <c r="J4" s="27">
        <v>5.2</v>
      </c>
      <c r="K4" s="185"/>
      <c r="L4" s="180">
        <v>123</v>
      </c>
      <c r="M4" s="186" t="s">
        <v>2</v>
      </c>
      <c r="N4"/>
      <c r="O4"/>
      <c r="P4"/>
    </row>
    <row r="5" spans="1:16" ht="16.149999999999999" customHeight="1" x14ac:dyDescent="0.25">
      <c r="A5" s="1"/>
      <c r="B5" s="418"/>
      <c r="C5" s="418"/>
      <c r="D5" s="418"/>
      <c r="E5" s="418"/>
      <c r="F5" s="418"/>
      <c r="G5" s="418"/>
      <c r="J5" s="65"/>
      <c r="K5" s="185"/>
      <c r="L5" s="181">
        <v>123</v>
      </c>
      <c r="M5" s="186" t="s">
        <v>3</v>
      </c>
      <c r="N5"/>
      <c r="O5"/>
      <c r="P5"/>
    </row>
    <row r="6" spans="1:16" ht="16.149999999999999" customHeight="1" x14ac:dyDescent="0.25">
      <c r="A6" s="1"/>
      <c r="B6" s="59"/>
      <c r="C6" s="59"/>
      <c r="D6" s="59"/>
      <c r="E6" s="59"/>
      <c r="F6" s="59"/>
      <c r="G6" s="59"/>
      <c r="J6" s="65"/>
      <c r="K6" s="187"/>
      <c r="L6" s="188"/>
      <c r="M6" s="189"/>
      <c r="N6"/>
      <c r="O6"/>
      <c r="P6"/>
    </row>
    <row r="7" spans="1:16" ht="16.149999999999999" customHeight="1" thickBot="1" x14ac:dyDescent="0.3">
      <c r="A7" s="1" t="s">
        <v>185</v>
      </c>
      <c r="J7" s="65"/>
      <c r="K7" s="61"/>
      <c r="N7"/>
      <c r="O7"/>
      <c r="P7"/>
    </row>
    <row r="8" spans="1:16" ht="16.149999999999999" customHeight="1" thickBot="1" x14ac:dyDescent="0.3">
      <c r="B8" s="406" t="s">
        <v>180</v>
      </c>
      <c r="C8" s="406"/>
      <c r="D8" s="406"/>
      <c r="E8" s="406"/>
      <c r="F8" s="406"/>
      <c r="G8" s="417"/>
      <c r="H8" s="44" t="s">
        <v>4</v>
      </c>
      <c r="J8" s="27">
        <v>5.3</v>
      </c>
      <c r="K8"/>
      <c r="L8"/>
      <c r="M8"/>
      <c r="N8"/>
      <c r="O8"/>
      <c r="P8"/>
    </row>
    <row r="9" spans="1:16" ht="15.75" thickBot="1" x14ac:dyDescent="0.3">
      <c r="B9" s="406"/>
      <c r="C9" s="406"/>
      <c r="D9" s="406"/>
      <c r="E9" s="406"/>
      <c r="F9" s="406"/>
      <c r="G9" s="406"/>
      <c r="H9" s="57"/>
      <c r="K9"/>
      <c r="L9"/>
      <c r="M9"/>
    </row>
    <row r="10" spans="1:16" ht="15.75" thickBot="1" x14ac:dyDescent="0.3">
      <c r="B10" s="58" t="s">
        <v>181</v>
      </c>
      <c r="C10" s="56"/>
      <c r="D10" s="56"/>
      <c r="E10" s="56"/>
      <c r="F10" s="56"/>
      <c r="G10" s="56"/>
      <c r="H10" s="44" t="s">
        <v>41</v>
      </c>
      <c r="J10" s="27">
        <v>5.3</v>
      </c>
      <c r="K10"/>
      <c r="L10"/>
      <c r="M10"/>
    </row>
    <row r="11" spans="1:16" ht="15.75" thickBot="1" x14ac:dyDescent="0.3">
      <c r="B11" s="23" t="s">
        <v>194</v>
      </c>
      <c r="C11" s="219"/>
      <c r="D11" s="219"/>
      <c r="E11" s="219"/>
      <c r="F11" s="219"/>
      <c r="G11" s="219"/>
      <c r="H11" s="2" t="str">
        <f>IF(AND(H8="No",H10="Yes"),"No","Yes")</f>
        <v>Yes</v>
      </c>
      <c r="J11" s="27">
        <v>5.3</v>
      </c>
      <c r="K11"/>
      <c r="L11"/>
      <c r="M11"/>
    </row>
    <row r="12" spans="1:16" ht="15.75" thickBot="1" x14ac:dyDescent="0.3">
      <c r="B12" s="23" t="s">
        <v>392</v>
      </c>
      <c r="C12" s="219"/>
      <c r="D12" s="219"/>
      <c r="E12" s="219"/>
      <c r="F12" s="219"/>
      <c r="G12" s="219"/>
      <c r="H12" s="44" t="s">
        <v>41</v>
      </c>
      <c r="J12" s="27">
        <v>5.3</v>
      </c>
      <c r="K12"/>
      <c r="L12"/>
      <c r="M12"/>
    </row>
    <row r="13" spans="1:16" customFormat="1" ht="15.75" thickBot="1" x14ac:dyDescent="0.3">
      <c r="A13" s="8"/>
      <c r="B13" s="23" t="s">
        <v>24</v>
      </c>
      <c r="C13" s="8"/>
      <c r="D13" s="8"/>
      <c r="E13" s="8"/>
      <c r="F13" s="8"/>
      <c r="G13" s="8"/>
      <c r="H13" s="44" t="s">
        <v>389</v>
      </c>
      <c r="I13" s="8"/>
      <c r="J13" s="27">
        <v>5.3</v>
      </c>
    </row>
    <row r="14" spans="1:16" ht="15.75" thickBot="1" x14ac:dyDescent="0.3">
      <c r="B14" s="16" t="s">
        <v>182</v>
      </c>
      <c r="H14" s="45"/>
      <c r="J14" s="27">
        <v>5.3</v>
      </c>
      <c r="K14"/>
      <c r="L14"/>
      <c r="M14"/>
    </row>
    <row r="15" spans="1:16" ht="15.75" thickBot="1" x14ac:dyDescent="0.3">
      <c r="B15" s="23" t="s">
        <v>44</v>
      </c>
      <c r="H15" s="45"/>
      <c r="I15" s="27" t="s">
        <v>28</v>
      </c>
      <c r="K15"/>
      <c r="L15"/>
      <c r="M15"/>
    </row>
    <row r="16" spans="1:16" ht="15.75" thickBot="1" x14ac:dyDescent="0.3">
      <c r="B16" s="23" t="s">
        <v>45</v>
      </c>
      <c r="H16" s="45"/>
      <c r="I16" s="27" t="s">
        <v>29</v>
      </c>
      <c r="J16" s="27">
        <v>5.3</v>
      </c>
      <c r="K16"/>
      <c r="L16"/>
      <c r="M16"/>
    </row>
    <row r="17" spans="1:14" ht="15.75" thickBot="1" x14ac:dyDescent="0.3">
      <c r="A17"/>
      <c r="B17" t="s">
        <v>299</v>
      </c>
      <c r="C17"/>
      <c r="D17"/>
      <c r="E17"/>
      <c r="F17"/>
      <c r="G17"/>
      <c r="H17" s="154" t="e">
        <f>H16/(H15/100)</f>
        <v>#DIV/0!</v>
      </c>
      <c r="I17" s="26" t="s">
        <v>300</v>
      </c>
      <c r="J17" s="26"/>
      <c r="K17"/>
      <c r="L17"/>
      <c r="M17"/>
      <c r="N17"/>
    </row>
    <row r="18" spans="1:14" ht="15.75" thickBot="1" x14ac:dyDescent="0.3">
      <c r="B18" s="23"/>
      <c r="H18"/>
      <c r="K18"/>
      <c r="L18"/>
      <c r="M18"/>
    </row>
    <row r="19" spans="1:14" ht="15.75" thickBot="1" x14ac:dyDescent="0.3">
      <c r="B19" s="1" t="s">
        <v>22</v>
      </c>
      <c r="H19" s="154" t="str">
        <f>IF(AND(H4="Yes",H8="No",H10="Yes",H12="Yes"),"Grade I",IF(AND(H4="Yes",H16&lt;=C23),"Grade I",IF(AND(H4="Yes",H16&lt;=C24),"Grade II","Grade III")))</f>
        <v>Grade III</v>
      </c>
      <c r="K19"/>
      <c r="L19"/>
      <c r="M19"/>
    </row>
    <row r="20" spans="1:14" ht="15.75" thickBot="1" x14ac:dyDescent="0.3">
      <c r="A20"/>
      <c r="B20"/>
      <c r="C20"/>
      <c r="D20"/>
      <c r="E20"/>
      <c r="F20"/>
      <c r="G20"/>
      <c r="H20"/>
      <c r="I20"/>
      <c r="J20" s="62"/>
      <c r="K20"/>
      <c r="L20"/>
      <c r="M20"/>
    </row>
    <row r="21" spans="1:14" x14ac:dyDescent="0.25">
      <c r="B21" s="36"/>
      <c r="C21" s="413" t="s">
        <v>80</v>
      </c>
      <c r="D21" s="414"/>
      <c r="E21"/>
      <c r="F21"/>
      <c r="G21"/>
      <c r="J21" s="63"/>
      <c r="K21" s="33"/>
    </row>
    <row r="22" spans="1:14" ht="15.75" thickBot="1" x14ac:dyDescent="0.3">
      <c r="B22" s="37" t="s">
        <v>0</v>
      </c>
      <c r="C22" s="415"/>
      <c r="D22" s="416"/>
      <c r="F22"/>
      <c r="G22"/>
      <c r="J22" s="63"/>
      <c r="K22" s="33"/>
    </row>
    <row r="23" spans="1:14" x14ac:dyDescent="0.25">
      <c r="B23" s="11" t="s">
        <v>5</v>
      </c>
      <c r="C23" s="151">
        <f>IF($H$14&lt;3,IF($H$13="Rough-in",MAX(40,4*$H$15/100),MAX(80,8*$H$15/100)),IF($H$13="Rough-in",MAX(60,6*$H$15/100),MAX(120,12*$H$15/100)))</f>
        <v>40</v>
      </c>
      <c r="D23" s="38" t="s">
        <v>29</v>
      </c>
      <c r="F23"/>
      <c r="G23"/>
      <c r="J23" s="63"/>
      <c r="K23" s="33"/>
    </row>
    <row r="24" spans="1:14" x14ac:dyDescent="0.25">
      <c r="B24" s="11" t="s">
        <v>6</v>
      </c>
      <c r="C24" s="152">
        <f>IF($H$14&lt;3,IF($H$13="Rough-in",MAX(60,6*$H$15/100),MAX(100,10*$H$15/100)),IF($H$13="Rough-in",MAX(80,8*$H$15/100),MAX(140,14*$H$15/100)))</f>
        <v>60</v>
      </c>
      <c r="D24" s="38" t="s">
        <v>29</v>
      </c>
      <c r="F24"/>
      <c r="G24"/>
      <c r="J24" s="64"/>
      <c r="K24" s="59"/>
    </row>
    <row r="25" spans="1:14" ht="15.75" thickBot="1" x14ac:dyDescent="0.3">
      <c r="B25" s="13" t="s">
        <v>7</v>
      </c>
      <c r="C25" s="153">
        <f>C24</f>
        <v>60</v>
      </c>
      <c r="D25" s="15" t="s">
        <v>29</v>
      </c>
    </row>
    <row r="52" spans="10:11" x14ac:dyDescent="0.25">
      <c r="J52" s="64"/>
      <c r="K52" s="22"/>
    </row>
    <row r="53" spans="10:11" x14ac:dyDescent="0.25">
      <c r="J53" s="64"/>
      <c r="K53" s="22"/>
    </row>
    <row r="54" spans="10:11" x14ac:dyDescent="0.25">
      <c r="J54" s="64"/>
      <c r="K54" s="22"/>
    </row>
    <row r="55" spans="10:11" x14ac:dyDescent="0.25">
      <c r="J55" s="64"/>
      <c r="K55" s="22"/>
    </row>
    <row r="61" spans="10:11" x14ac:dyDescent="0.25">
      <c r="J61" s="62"/>
      <c r="K61" s="1"/>
    </row>
    <row r="65" spans="10:11" x14ac:dyDescent="0.25">
      <c r="J65" s="26"/>
      <c r="K65"/>
    </row>
    <row r="66" spans="10:11" x14ac:dyDescent="0.25">
      <c r="J66" s="26"/>
      <c r="K66"/>
    </row>
    <row r="67" spans="10:11" x14ac:dyDescent="0.25">
      <c r="J67" s="26"/>
      <c r="K67"/>
    </row>
    <row r="68" spans="10:11" x14ac:dyDescent="0.25">
      <c r="J68" s="26"/>
      <c r="K68"/>
    </row>
    <row r="69" spans="10:11" x14ac:dyDescent="0.25">
      <c r="J69" s="26"/>
      <c r="K69"/>
    </row>
    <row r="70" spans="10:11" x14ac:dyDescent="0.25">
      <c r="J70" s="26"/>
      <c r="K70"/>
    </row>
    <row r="71" spans="10:11" x14ac:dyDescent="0.25">
      <c r="J71" s="26"/>
      <c r="K71"/>
    </row>
  </sheetData>
  <sheetProtection sheet="1" selectLockedCells="1"/>
  <mergeCells count="4">
    <mergeCell ref="C21:D22"/>
    <mergeCell ref="B8:G9"/>
    <mergeCell ref="J1:J2"/>
    <mergeCell ref="B4:G5"/>
  </mergeCells>
  <conditionalFormatting sqref="H12">
    <cfRule type="expression" dxfId="59" priority="3">
      <formula>AND(H12="Yes",H11="Yes")</formula>
    </cfRule>
  </conditionalFormatting>
  <conditionalFormatting sqref="H4">
    <cfRule type="cellIs" dxfId="58" priority="1" operator="equal">
      <formula>"No"</formula>
    </cfRule>
  </conditionalFormatting>
  <dataValidations count="2">
    <dataValidation type="list" allowBlank="1" showInputMessage="1" showErrorMessage="1" sqref="H13" xr:uid="{00000000-0002-0000-0100-000000000000}">
      <formula1>"Rough-in,Final"</formula1>
    </dataValidation>
    <dataValidation type="list" allowBlank="1" showInputMessage="1" showErrorMessage="1" sqref="H8 H12 H10" xr:uid="{00000000-0002-0000-0100-000001000000}">
      <formula1>"Yes,No"</formula1>
    </dataValidation>
  </dataValidations>
  <pageMargins left="0.4" right="0.4" top="0.4" bottom="0.4" header="0.3" footer="0.3"/>
  <pageSetup scale="60" orientation="portrait" horizontalDpi="1200" verticalDpi="1200" r:id="rId1"/>
  <headerFooter>
    <oddFooter>&amp;C&amp;A&amp;Rv1.3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sheetPr>
  <dimension ref="A1:M84"/>
  <sheetViews>
    <sheetView showGridLines="0" tabSelected="1" topLeftCell="A4" zoomScaleNormal="100" workbookViewId="0">
      <selection activeCell="H31" sqref="H31"/>
    </sheetView>
  </sheetViews>
  <sheetFormatPr defaultColWidth="9.28515625" defaultRowHeight="15" x14ac:dyDescent="0.25"/>
  <cols>
    <col min="1" max="1" width="1.7109375" style="8" customWidth="1"/>
    <col min="2" max="2" width="11.28515625" style="8" customWidth="1"/>
    <col min="3" max="3" width="9.7109375" style="8" customWidth="1"/>
    <col min="4" max="4" width="13" style="8" customWidth="1"/>
    <col min="5" max="5" width="10.42578125" style="8" customWidth="1"/>
    <col min="6" max="6" width="2.7109375" style="8" bestFit="1" customWidth="1"/>
    <col min="7" max="7" width="17.7109375" style="8" customWidth="1"/>
    <col min="8" max="8" width="14.7109375" style="8" customWidth="1"/>
    <col min="9" max="9" width="9.28515625" style="8"/>
    <col min="10" max="10" width="17.5703125" style="27" customWidth="1"/>
    <col min="11" max="11" width="2.28515625" style="8" customWidth="1"/>
    <col min="12" max="12" width="11" style="8" customWidth="1"/>
    <col min="13" max="13" width="46.42578125" style="8" customWidth="1"/>
    <col min="14" max="16384" width="9.28515625" style="8"/>
  </cols>
  <sheetData>
    <row r="1" spans="1:13" ht="16.149999999999999" customHeight="1" x14ac:dyDescent="0.25">
      <c r="A1" s="1" t="s">
        <v>405</v>
      </c>
      <c r="J1" s="403" t="s">
        <v>183</v>
      </c>
      <c r="K1" s="65"/>
    </row>
    <row r="2" spans="1:13" ht="16.149999999999999" customHeight="1" x14ac:dyDescent="0.25">
      <c r="A2" s="1" t="s">
        <v>384</v>
      </c>
      <c r="J2" s="403"/>
      <c r="K2" s="182"/>
      <c r="L2" s="183" t="s">
        <v>11</v>
      </c>
      <c r="M2" s="184"/>
    </row>
    <row r="3" spans="1:13" ht="16.149999999999999" customHeight="1" thickBot="1" x14ac:dyDescent="0.3">
      <c r="A3" s="1" t="s">
        <v>25</v>
      </c>
      <c r="G3" s="31"/>
      <c r="K3" s="185"/>
      <c r="L3" s="179">
        <v>123</v>
      </c>
      <c r="M3" s="186" t="s">
        <v>1</v>
      </c>
    </row>
    <row r="4" spans="1:13" ht="16.149999999999999" customHeight="1" thickBot="1" x14ac:dyDescent="0.3">
      <c r="A4" s="1"/>
      <c r="B4" s="8" t="s">
        <v>141</v>
      </c>
      <c r="G4" s="31"/>
      <c r="H4" s="2" t="str">
        <f>IF(OR('2. Total Duct Leakage'!H19="Grade I",'2. Total Duct Leakage'!H19="Grade II"),"Yes","No")</f>
        <v>No</v>
      </c>
      <c r="J4" s="67" t="s">
        <v>88</v>
      </c>
      <c r="K4" s="185"/>
      <c r="L4" s="180">
        <v>123</v>
      </c>
      <c r="M4" s="186" t="s">
        <v>2</v>
      </c>
    </row>
    <row r="5" spans="1:13" ht="16.149999999999999" customHeight="1" thickBot="1" x14ac:dyDescent="0.3">
      <c r="A5" s="1"/>
      <c r="B5" s="32" t="s">
        <v>187</v>
      </c>
      <c r="C5" s="32"/>
      <c r="D5" s="32"/>
      <c r="E5" s="32"/>
      <c r="F5" s="32"/>
      <c r="G5" s="48"/>
      <c r="H5" s="44" t="s">
        <v>4</v>
      </c>
      <c r="I5"/>
      <c r="J5" s="27" t="s">
        <v>89</v>
      </c>
      <c r="K5" s="185"/>
      <c r="L5" s="181">
        <v>123</v>
      </c>
      <c r="M5" s="186" t="s">
        <v>3</v>
      </c>
    </row>
    <row r="6" spans="1:13" ht="16.149999999999999" customHeight="1" thickBot="1" x14ac:dyDescent="0.3">
      <c r="A6" s="1"/>
      <c r="B6" s="32" t="s">
        <v>186</v>
      </c>
      <c r="C6" s="32"/>
      <c r="D6" s="32"/>
      <c r="E6" s="32"/>
      <c r="F6" s="32"/>
      <c r="G6" s="48"/>
      <c r="H6" s="44" t="s">
        <v>4</v>
      </c>
      <c r="I6"/>
      <c r="J6" s="27" t="s">
        <v>188</v>
      </c>
      <c r="K6" s="187"/>
      <c r="L6" s="188"/>
      <c r="M6" s="189"/>
    </row>
    <row r="7" spans="1:13" ht="16.149999999999999" customHeight="1" thickBot="1" x14ac:dyDescent="0.3">
      <c r="A7" s="1"/>
      <c r="B7" s="32" t="s">
        <v>189</v>
      </c>
      <c r="C7" s="32"/>
      <c r="D7" s="32"/>
      <c r="E7" s="32"/>
      <c r="F7" s="32"/>
      <c r="G7" s="48"/>
      <c r="H7" s="44" t="s">
        <v>4</v>
      </c>
      <c r="I7"/>
      <c r="J7" s="27" t="s">
        <v>191</v>
      </c>
    </row>
    <row r="8" spans="1:13" ht="16.149999999999999" customHeight="1" thickBot="1" x14ac:dyDescent="0.3">
      <c r="A8" s="1"/>
      <c r="B8" s="32" t="s">
        <v>190</v>
      </c>
      <c r="C8" s="32"/>
      <c r="D8" s="32"/>
      <c r="E8" s="32"/>
      <c r="F8" s="32"/>
      <c r="G8" s="48"/>
      <c r="H8" s="44" t="s">
        <v>4</v>
      </c>
      <c r="I8"/>
      <c r="J8" s="27" t="s">
        <v>192</v>
      </c>
    </row>
    <row r="9" spans="1:13" ht="16.149999999999999" customHeight="1" thickBot="1" x14ac:dyDescent="0.3">
      <c r="B9" s="8" t="s">
        <v>26</v>
      </c>
      <c r="C9" s="22"/>
      <c r="D9" s="22"/>
      <c r="E9" s="22"/>
      <c r="F9" s="22"/>
      <c r="G9" s="50"/>
      <c r="H9" s="2" t="str">
        <f>IF(OR(H5="No",H4="No",H6="No",H7="No",H8="No"),"No","Yes")</f>
        <v>No</v>
      </c>
    </row>
    <row r="10" spans="1:13" ht="16.149999999999999" customHeight="1" x14ac:dyDescent="0.25">
      <c r="B10" s="41"/>
      <c r="C10" s="41"/>
      <c r="D10" s="41"/>
      <c r="E10" s="41"/>
      <c r="F10" s="41"/>
      <c r="G10" s="49"/>
    </row>
    <row r="11" spans="1:13" ht="16.149999999999999" customHeight="1" thickBot="1" x14ac:dyDescent="0.3">
      <c r="A11" s="1" t="s">
        <v>36</v>
      </c>
      <c r="B11" s="21"/>
      <c r="C11" s="21"/>
      <c r="D11" s="21"/>
      <c r="E11" s="90"/>
      <c r="F11" s="21"/>
      <c r="G11" s="21"/>
      <c r="H11" s="21"/>
      <c r="J11" s="62"/>
      <c r="K11" s="1"/>
    </row>
    <row r="12" spans="1:13" ht="16.149999999999999" customHeight="1" thickBot="1" x14ac:dyDescent="0.3">
      <c r="B12" s="8" t="s">
        <v>262</v>
      </c>
      <c r="H12" s="45"/>
      <c r="I12" s="27" t="s">
        <v>27</v>
      </c>
      <c r="J12" s="27" t="s">
        <v>90</v>
      </c>
      <c r="L12"/>
    </row>
    <row r="13" spans="1:13" ht="16.149999999999999" customHeight="1" x14ac:dyDescent="0.25">
      <c r="H13" s="12"/>
      <c r="L13"/>
    </row>
    <row r="14" spans="1:13" ht="16.149999999999999" customHeight="1" thickBot="1" x14ac:dyDescent="0.3">
      <c r="A14" s="1" t="s">
        <v>37</v>
      </c>
      <c r="B14" s="21"/>
      <c r="C14" s="21"/>
      <c r="D14" s="21"/>
      <c r="E14" s="90"/>
      <c r="F14" s="21"/>
      <c r="G14" s="21"/>
      <c r="H14" s="21"/>
      <c r="J14" s="62"/>
      <c r="K14" s="1"/>
      <c r="L14"/>
      <c r="M14" s="47"/>
    </row>
    <row r="15" spans="1:13" ht="16.149999999999999" customHeight="1" thickBot="1" x14ac:dyDescent="0.3">
      <c r="B15" s="406" t="s">
        <v>180</v>
      </c>
      <c r="C15" s="406"/>
      <c r="D15" s="406"/>
      <c r="E15" s="406"/>
      <c r="F15" s="406"/>
      <c r="G15" s="417"/>
      <c r="H15" s="2" t="str">
        <f>'2. Total Duct Leakage'!H8</f>
        <v>Yes</v>
      </c>
      <c r="J15" s="27" t="s">
        <v>193</v>
      </c>
      <c r="L15"/>
      <c r="M15" s="47"/>
    </row>
    <row r="16" spans="1:13" ht="16.149999999999999" customHeight="1" thickBot="1" x14ac:dyDescent="0.3">
      <c r="B16" s="406"/>
      <c r="C16" s="406"/>
      <c r="D16" s="406"/>
      <c r="E16" s="406"/>
      <c r="F16" s="406"/>
      <c r="G16" s="406"/>
      <c r="H16" s="68"/>
      <c r="L16"/>
      <c r="M16" s="47"/>
    </row>
    <row r="17" spans="1:13" ht="16.149999999999999" customHeight="1" thickBot="1" x14ac:dyDescent="0.3">
      <c r="B17" s="58" t="s">
        <v>181</v>
      </c>
      <c r="C17" s="60"/>
      <c r="D17" s="60"/>
      <c r="E17" s="91"/>
      <c r="F17" s="60"/>
      <c r="G17" s="60"/>
      <c r="H17" s="2" t="str">
        <f>'2. Total Duct Leakage'!H10</f>
        <v>No</v>
      </c>
      <c r="J17" s="27" t="s">
        <v>193</v>
      </c>
      <c r="L17"/>
      <c r="M17" s="47"/>
    </row>
    <row r="18" spans="1:13" ht="16.149999999999999" customHeight="1" thickBot="1" x14ac:dyDescent="0.3">
      <c r="B18" s="33" t="s">
        <v>194</v>
      </c>
      <c r="C18" s="22"/>
      <c r="D18" s="22"/>
      <c r="E18" s="22"/>
      <c r="F18" s="22"/>
      <c r="G18" s="34"/>
      <c r="H18" s="2" t="str">
        <f>IF(AND(H15="No",H17="Yes"),"No","Yes")</f>
        <v>Yes</v>
      </c>
      <c r="J18" s="27" t="s">
        <v>193</v>
      </c>
      <c r="K18" s="33"/>
      <c r="L18"/>
    </row>
    <row r="19" spans="1:13" ht="16.149999999999999" customHeight="1" thickBot="1" x14ac:dyDescent="0.3">
      <c r="B19" s="23" t="s">
        <v>393</v>
      </c>
      <c r="C19" s="22"/>
      <c r="D19" s="22"/>
      <c r="E19" s="22"/>
      <c r="F19" s="22"/>
      <c r="G19" s="35"/>
      <c r="H19" s="44" t="s">
        <v>41</v>
      </c>
      <c r="J19" s="27" t="s">
        <v>193</v>
      </c>
      <c r="K19" s="33"/>
      <c r="L19"/>
    </row>
    <row r="20" spans="1:13" ht="16.149999999999999" customHeight="1" thickBot="1" x14ac:dyDescent="0.3">
      <c r="B20" s="33" t="s">
        <v>81</v>
      </c>
      <c r="C20" s="22"/>
      <c r="D20" s="22"/>
      <c r="E20" s="22"/>
      <c r="F20" s="22"/>
      <c r="G20" s="35"/>
      <c r="H20" s="25" t="str">
        <f>'2. Total Duct Leakage'!H19</f>
        <v>Grade III</v>
      </c>
      <c r="K20" s="33"/>
      <c r="L20"/>
    </row>
    <row r="21" spans="1:13" ht="16.149999999999999" customHeight="1" thickBot="1" x14ac:dyDescent="0.3">
      <c r="B21" s="33" t="s">
        <v>42</v>
      </c>
      <c r="C21" s="33"/>
      <c r="D21" s="33"/>
      <c r="E21" s="33"/>
      <c r="F21" s="33"/>
      <c r="G21" s="43"/>
      <c r="H21" s="419" t="s">
        <v>387</v>
      </c>
      <c r="I21" s="420"/>
      <c r="J21" s="27" t="s">
        <v>195</v>
      </c>
      <c r="K21" s="33"/>
      <c r="L21"/>
    </row>
    <row r="22" spans="1:13" ht="16.149999999999999" customHeight="1" x14ac:dyDescent="0.25">
      <c r="B22" s="21"/>
      <c r="C22" s="21"/>
      <c r="D22" s="21"/>
      <c r="E22" s="90"/>
      <c r="F22" s="21"/>
      <c r="G22" s="21"/>
      <c r="H22" s="21"/>
      <c r="J22" s="64"/>
      <c r="K22" s="59"/>
      <c r="L22"/>
    </row>
    <row r="23" spans="1:13" ht="16.149999999999999" customHeight="1" thickBot="1" x14ac:dyDescent="0.3">
      <c r="A23" s="1" t="s">
        <v>196</v>
      </c>
      <c r="B23" s="59"/>
      <c r="C23" s="59"/>
      <c r="D23" s="59"/>
      <c r="E23" s="90"/>
      <c r="F23" s="59"/>
      <c r="G23" s="59"/>
      <c r="H23" s="59"/>
      <c r="J23" s="64"/>
      <c r="K23" s="59"/>
      <c r="L23"/>
    </row>
    <row r="24" spans="1:13" ht="16.149999999999999" customHeight="1" thickBot="1" x14ac:dyDescent="0.3">
      <c r="A24" s="1"/>
      <c r="B24" s="8" t="s">
        <v>197</v>
      </c>
      <c r="H24" s="44" t="s">
        <v>4</v>
      </c>
      <c r="I24" s="27"/>
      <c r="J24" s="27">
        <v>6.4</v>
      </c>
      <c r="L24"/>
    </row>
    <row r="25" spans="1:13" ht="16.149999999999999" customHeight="1" thickBot="1" x14ac:dyDescent="0.3">
      <c r="A25" s="1"/>
      <c r="B25" s="8" t="s">
        <v>235</v>
      </c>
      <c r="H25" s="44" t="s">
        <v>236</v>
      </c>
      <c r="I25" s="27"/>
      <c r="J25" s="27" t="s">
        <v>237</v>
      </c>
      <c r="L25"/>
    </row>
    <row r="26" spans="1:13" ht="16.149999999999999" customHeight="1" x14ac:dyDescent="0.25">
      <c r="H26" s="12"/>
      <c r="L26"/>
    </row>
    <row r="27" spans="1:13" ht="16.149999999999999" customHeight="1" x14ac:dyDescent="0.25">
      <c r="A27" s="1" t="s">
        <v>43</v>
      </c>
      <c r="H27" s="27"/>
      <c r="I27" s="27"/>
      <c r="L27"/>
    </row>
    <row r="28" spans="1:13" ht="16.149999999999999" customHeight="1" thickBot="1" x14ac:dyDescent="0.3">
      <c r="B28" s="1" t="s">
        <v>214</v>
      </c>
      <c r="L28"/>
    </row>
    <row r="29" spans="1:13" ht="16.149999999999999" customHeight="1" thickBot="1" x14ac:dyDescent="0.3">
      <c r="B29" s="8" t="s">
        <v>38</v>
      </c>
      <c r="H29" s="51"/>
      <c r="I29" s="52" t="s">
        <v>495</v>
      </c>
      <c r="J29" s="27" t="s">
        <v>87</v>
      </c>
      <c r="L29"/>
      <c r="M29" s="27"/>
    </row>
    <row r="30" spans="1:13" ht="16.149999999999999" customHeight="1" thickBot="1" x14ac:dyDescent="0.3">
      <c r="B30" s="8" t="s">
        <v>198</v>
      </c>
      <c r="H30" s="52" t="s">
        <v>41</v>
      </c>
      <c r="I30" s="27"/>
      <c r="J30" s="27" t="s">
        <v>87</v>
      </c>
      <c r="L30"/>
      <c r="M30" s="27"/>
    </row>
    <row r="31" spans="1:13" ht="16.149999999999999" customHeight="1" thickBot="1" x14ac:dyDescent="0.3">
      <c r="B31" s="8" t="s">
        <v>199</v>
      </c>
      <c r="H31" s="52" t="s">
        <v>201</v>
      </c>
      <c r="I31" s="27"/>
      <c r="J31" s="27" t="s">
        <v>200</v>
      </c>
      <c r="L31"/>
      <c r="M31" s="27"/>
    </row>
    <row r="32" spans="1:13" ht="16.149999999999999" customHeight="1" thickBot="1" x14ac:dyDescent="0.3">
      <c r="B32" s="8" t="s">
        <v>39</v>
      </c>
      <c r="H32" s="52"/>
      <c r="I32" s="52" t="s">
        <v>495</v>
      </c>
      <c r="J32" s="27" t="s">
        <v>91</v>
      </c>
      <c r="L32"/>
      <c r="M32" s="27"/>
    </row>
    <row r="33" spans="2:13" ht="16.149999999999999" customHeight="1" thickBot="1" x14ac:dyDescent="0.3">
      <c r="B33" s="8" t="s">
        <v>31</v>
      </c>
      <c r="H33" s="45"/>
      <c r="I33" s="27" t="s">
        <v>27</v>
      </c>
      <c r="J33" s="27" t="s">
        <v>91</v>
      </c>
      <c r="L33"/>
      <c r="M33" s="27"/>
    </row>
    <row r="34" spans="2:13" ht="16.149999999999999" customHeight="1" thickBot="1" x14ac:dyDescent="0.3">
      <c r="B34" s="8" t="s">
        <v>258</v>
      </c>
      <c r="G34" s="31"/>
      <c r="H34" s="25" t="e">
        <f>H33*((IF(I29="Pa",H29*0.0040146,H29)/IF(I32="Pa",H32*0.0040146,H32))^0.5)</f>
        <v>#DIV/0!</v>
      </c>
      <c r="I34" s="27" t="s">
        <v>27</v>
      </c>
      <c r="J34" s="27" t="s">
        <v>92</v>
      </c>
      <c r="L34"/>
      <c r="M34" s="27"/>
    </row>
    <row r="35" spans="2:13" ht="16.149999999999999" customHeight="1" x14ac:dyDescent="0.25">
      <c r="D35"/>
      <c r="E35"/>
      <c r="F35"/>
      <c r="G35"/>
      <c r="L35"/>
      <c r="M35" s="27"/>
    </row>
    <row r="36" spans="2:13" ht="16.149999999999999" customHeight="1" thickBot="1" x14ac:dyDescent="0.3">
      <c r="B36" s="1" t="s">
        <v>215</v>
      </c>
      <c r="L36"/>
      <c r="M36" s="27"/>
    </row>
    <row r="37" spans="2:13" ht="16.149999999999999" customHeight="1" thickBot="1" x14ac:dyDescent="0.3">
      <c r="B37" s="8" t="s">
        <v>38</v>
      </c>
      <c r="H37" s="51"/>
      <c r="I37" s="52" t="s">
        <v>495</v>
      </c>
      <c r="J37" s="27" t="s">
        <v>202</v>
      </c>
      <c r="L37"/>
      <c r="M37" s="27"/>
    </row>
    <row r="38" spans="2:13" ht="16.149999999999999" customHeight="1" thickBot="1" x14ac:dyDescent="0.3">
      <c r="B38" s="8" t="s">
        <v>198</v>
      </c>
      <c r="H38" s="52" t="s">
        <v>41</v>
      </c>
      <c r="I38" s="27"/>
      <c r="J38" s="27" t="s">
        <v>202</v>
      </c>
      <c r="L38"/>
      <c r="M38" s="27"/>
    </row>
    <row r="39" spans="2:13" ht="16.149999999999999" customHeight="1" thickBot="1" x14ac:dyDescent="0.3">
      <c r="B39" s="8" t="s">
        <v>39</v>
      </c>
      <c r="H39" s="51"/>
      <c r="I39" s="52" t="s">
        <v>495</v>
      </c>
      <c r="J39" s="27" t="s">
        <v>203</v>
      </c>
      <c r="L39"/>
      <c r="M39" s="27"/>
    </row>
    <row r="40" spans="2:13" ht="16.149999999999999" customHeight="1" thickBot="1" x14ac:dyDescent="0.3">
      <c r="B40" s="8" t="s">
        <v>32</v>
      </c>
      <c r="H40" s="45"/>
      <c r="I40" s="27" t="s">
        <v>27</v>
      </c>
      <c r="J40" s="27" t="s">
        <v>204</v>
      </c>
      <c r="L40"/>
      <c r="M40" s="27"/>
    </row>
    <row r="41" spans="2:13" ht="16.149999999999999" customHeight="1" thickBot="1" x14ac:dyDescent="0.3">
      <c r="B41" s="8" t="s">
        <v>258</v>
      </c>
      <c r="G41" s="31"/>
      <c r="H41" s="25" t="e">
        <f>H40*((IF(I37="Pa",H37*0.0040146,H37)/IF(I39="Pa",H39*0.0040146,H39))^0.5)</f>
        <v>#DIV/0!</v>
      </c>
      <c r="I41" s="27" t="s">
        <v>27</v>
      </c>
      <c r="J41" s="27" t="s">
        <v>205</v>
      </c>
      <c r="L41"/>
      <c r="M41" s="27"/>
    </row>
    <row r="42" spans="2:13" ht="16.149999999999999" customHeight="1" x14ac:dyDescent="0.25">
      <c r="D42"/>
      <c r="E42"/>
      <c r="F42"/>
      <c r="G42"/>
      <c r="L42"/>
      <c r="M42" s="27"/>
    </row>
    <row r="43" spans="2:13" ht="16.149999999999999" customHeight="1" thickBot="1" x14ac:dyDescent="0.3">
      <c r="B43" s="1" t="s">
        <v>216</v>
      </c>
      <c r="L43"/>
      <c r="M43" s="27"/>
    </row>
    <row r="44" spans="2:13" ht="16.149999999999999" customHeight="1" thickBot="1" x14ac:dyDescent="0.3">
      <c r="B44" s="8" t="s">
        <v>33</v>
      </c>
      <c r="G44" s="8" t="s">
        <v>16</v>
      </c>
      <c r="H44" s="45"/>
      <c r="I44" s="27" t="s">
        <v>27</v>
      </c>
      <c r="J44" s="27" t="s">
        <v>207</v>
      </c>
      <c r="L44"/>
      <c r="M44" s="27"/>
    </row>
    <row r="45" spans="2:13" ht="16.149999999999999" customHeight="1" thickBot="1" x14ac:dyDescent="0.3">
      <c r="B45" s="418" t="s">
        <v>20</v>
      </c>
      <c r="C45" s="418"/>
      <c r="D45" s="418"/>
      <c r="E45" s="90"/>
      <c r="G45" s="8" t="s">
        <v>17</v>
      </c>
      <c r="H45" s="45"/>
      <c r="I45" s="27" t="s">
        <v>27</v>
      </c>
      <c r="L45"/>
      <c r="M45" s="27"/>
    </row>
    <row r="46" spans="2:13" ht="16.149999999999999" customHeight="1" thickBot="1" x14ac:dyDescent="0.3">
      <c r="B46" s="418"/>
      <c r="C46" s="418"/>
      <c r="D46" s="418"/>
      <c r="E46" s="90"/>
      <c r="G46" s="8" t="s">
        <v>18</v>
      </c>
      <c r="H46" s="45"/>
      <c r="I46" s="27" t="s">
        <v>27</v>
      </c>
      <c r="L46"/>
      <c r="M46" s="27"/>
    </row>
    <row r="47" spans="2:13" ht="16.149999999999999" customHeight="1" thickBot="1" x14ac:dyDescent="0.3">
      <c r="G47" s="23" t="s">
        <v>19</v>
      </c>
      <c r="H47" s="45"/>
      <c r="I47" s="27" t="s">
        <v>27</v>
      </c>
      <c r="L47"/>
      <c r="M47" s="27"/>
    </row>
    <row r="48" spans="2:13" ht="16.149999999999999" customHeight="1" thickBot="1" x14ac:dyDescent="0.3">
      <c r="B48" s="8" t="s">
        <v>258</v>
      </c>
      <c r="H48" s="25">
        <f>SUM(H44:H47)</f>
        <v>0</v>
      </c>
      <c r="I48" s="27" t="s">
        <v>27</v>
      </c>
      <c r="J48" s="27" t="s">
        <v>206</v>
      </c>
      <c r="L48"/>
      <c r="M48" s="27"/>
    </row>
    <row r="49" spans="2:13" ht="16.149999999999999" customHeight="1" x14ac:dyDescent="0.25">
      <c r="L49"/>
      <c r="M49" s="27"/>
    </row>
    <row r="50" spans="2:13" ht="16.149999999999999" customHeight="1" thickBot="1" x14ac:dyDescent="0.3">
      <c r="B50" s="1" t="s">
        <v>217</v>
      </c>
      <c r="L50"/>
      <c r="M50" s="27"/>
    </row>
    <row r="51" spans="2:13" ht="16.149999999999999" customHeight="1" thickBot="1" x14ac:dyDescent="0.3">
      <c r="B51" s="418" t="s">
        <v>259</v>
      </c>
      <c r="C51" s="418"/>
      <c r="D51" s="418"/>
      <c r="E51" s="418"/>
      <c r="F51" s="418"/>
      <c r="G51" s="418"/>
      <c r="H51" s="44" t="s">
        <v>94</v>
      </c>
      <c r="I51" s="27"/>
      <c r="J51" s="27" t="s">
        <v>219</v>
      </c>
      <c r="L51"/>
      <c r="M51" s="27"/>
    </row>
    <row r="52" spans="2:13" ht="16.149999999999999" customHeight="1" x14ac:dyDescent="0.25">
      <c r="B52" s="418"/>
      <c r="C52" s="418"/>
      <c r="D52" s="418"/>
      <c r="E52" s="418"/>
      <c r="F52" s="418"/>
      <c r="G52" s="418"/>
      <c r="H52" s="27"/>
      <c r="I52" s="27"/>
      <c r="L52"/>
      <c r="M52" s="27"/>
    </row>
    <row r="53" spans="2:13" ht="16.149999999999999" customHeight="1" thickBot="1" x14ac:dyDescent="0.3">
      <c r="B53" s="418"/>
      <c r="C53" s="418"/>
      <c r="D53" s="418"/>
      <c r="E53" s="418"/>
      <c r="F53" s="418"/>
      <c r="G53" s="418"/>
      <c r="H53" s="27"/>
      <c r="I53" s="27"/>
      <c r="L53"/>
      <c r="M53" s="27"/>
    </row>
    <row r="54" spans="2:13" ht="16.149999999999999" customHeight="1" thickBot="1" x14ac:dyDescent="0.3">
      <c r="B54" s="8" t="s">
        <v>35</v>
      </c>
      <c r="H54" s="53"/>
      <c r="J54" s="27" t="s">
        <v>208</v>
      </c>
      <c r="L54"/>
      <c r="M54" s="27"/>
    </row>
    <row r="55" spans="2:13" ht="16.149999999999999" customHeight="1" thickBot="1" x14ac:dyDescent="0.3">
      <c r="B55" s="8" t="s">
        <v>38</v>
      </c>
      <c r="H55" s="52"/>
      <c r="I55" s="52" t="s">
        <v>495</v>
      </c>
      <c r="J55" s="27" t="s">
        <v>209</v>
      </c>
      <c r="L55"/>
      <c r="M55" s="27"/>
    </row>
    <row r="56" spans="2:13" ht="16.149999999999999" customHeight="1" thickBot="1" x14ac:dyDescent="0.3">
      <c r="B56" s="8" t="s">
        <v>198</v>
      </c>
      <c r="H56" s="52" t="s">
        <v>4</v>
      </c>
      <c r="I56" s="27"/>
      <c r="J56" s="27" t="s">
        <v>209</v>
      </c>
      <c r="L56"/>
      <c r="M56" s="27"/>
    </row>
    <row r="57" spans="2:13" ht="16.149999999999999" customHeight="1" thickBot="1" x14ac:dyDescent="0.3">
      <c r="B57" s="8" t="s">
        <v>40</v>
      </c>
      <c r="H57" s="52"/>
      <c r="I57" s="52" t="s">
        <v>495</v>
      </c>
      <c r="J57" s="27" t="s">
        <v>210</v>
      </c>
      <c r="L57"/>
      <c r="M57" s="27"/>
    </row>
    <row r="58" spans="2:13" ht="16.149999999999999" customHeight="1" thickBot="1" x14ac:dyDescent="0.3">
      <c r="B58" s="8" t="s">
        <v>218</v>
      </c>
      <c r="H58" s="52" t="s">
        <v>4</v>
      </c>
      <c r="I58" s="27"/>
      <c r="J58" s="27" t="s">
        <v>210</v>
      </c>
      <c r="L58"/>
      <c r="M58" s="27"/>
    </row>
    <row r="59" spans="2:13" ht="16.149999999999999" customHeight="1" thickBot="1" x14ac:dyDescent="0.3">
      <c r="B59" s="8" t="s">
        <v>95</v>
      </c>
      <c r="H59" s="52"/>
      <c r="I59" s="27" t="s">
        <v>96</v>
      </c>
      <c r="J59" s="27" t="s">
        <v>211</v>
      </c>
      <c r="L59"/>
      <c r="M59" s="27"/>
    </row>
    <row r="60" spans="2:13" ht="16.149999999999999" customHeight="1" thickBot="1" x14ac:dyDescent="0.3">
      <c r="B60" s="8" t="s">
        <v>93</v>
      </c>
      <c r="H60" s="69">
        <f>IF(H51="PSC",0.07517/(0.07517*(1-(0.0035666*H59)/528)^5.2553),1)</f>
        <v>1</v>
      </c>
      <c r="I60" s="27"/>
      <c r="J60" s="27" t="s">
        <v>211</v>
      </c>
      <c r="L60"/>
      <c r="M60" s="27"/>
    </row>
    <row r="61" spans="2:13" ht="16.149999999999999" customHeight="1" thickBot="1" x14ac:dyDescent="0.3">
      <c r="B61" s="418" t="s">
        <v>298</v>
      </c>
      <c r="C61" s="418"/>
      <c r="D61" s="418"/>
      <c r="E61" s="418"/>
      <c r="F61" s="418"/>
      <c r="G61" s="418"/>
      <c r="H61" s="53"/>
      <c r="I61" s="27" t="s">
        <v>30</v>
      </c>
      <c r="J61" s="92" t="s">
        <v>212</v>
      </c>
      <c r="K61" s="22"/>
      <c r="L61"/>
      <c r="M61" s="92"/>
    </row>
    <row r="62" spans="2:13" ht="16.149999999999999" customHeight="1" x14ac:dyDescent="0.25">
      <c r="B62" s="418"/>
      <c r="C62" s="418"/>
      <c r="D62" s="418"/>
      <c r="E62" s="418"/>
      <c r="F62" s="418"/>
      <c r="G62" s="418"/>
      <c r="H62" s="24"/>
      <c r="J62" s="92"/>
      <c r="K62" s="22"/>
      <c r="L62"/>
      <c r="M62" s="92"/>
    </row>
    <row r="63" spans="2:13" ht="16.149999999999999" customHeight="1" x14ac:dyDescent="0.25">
      <c r="B63" s="418"/>
      <c r="C63" s="418"/>
      <c r="D63" s="418"/>
      <c r="E63" s="418"/>
      <c r="F63" s="418"/>
      <c r="G63" s="418"/>
      <c r="H63" s="24"/>
      <c r="J63" s="92"/>
      <c r="K63" s="22"/>
      <c r="L63"/>
      <c r="M63" s="92"/>
    </row>
    <row r="64" spans="2:13" ht="16.149999999999999" customHeight="1" thickBot="1" x14ac:dyDescent="0.3">
      <c r="B64" s="418"/>
      <c r="C64" s="418"/>
      <c r="D64" s="418"/>
      <c r="E64" s="418"/>
      <c r="F64" s="418"/>
      <c r="G64" s="418"/>
      <c r="H64" s="24"/>
      <c r="J64" s="92"/>
      <c r="K64" s="22"/>
      <c r="L64"/>
      <c r="M64" s="92"/>
    </row>
    <row r="65" spans="1:13" ht="16.149999999999999" customHeight="1" thickBot="1" x14ac:dyDescent="0.3">
      <c r="B65" s="8" t="s">
        <v>34</v>
      </c>
      <c r="G65" s="31"/>
      <c r="H65" s="54">
        <f>H60*(ABS(IF(I55="Pa",H55*0.0040146,H55))+ABS(IF(I57="Pa",H57*0.0040146,H57))-ABS(H61))</f>
        <v>0</v>
      </c>
      <c r="I65" s="27" t="s">
        <v>30</v>
      </c>
      <c r="J65" s="27" t="s">
        <v>212</v>
      </c>
      <c r="L65"/>
      <c r="M65" s="27"/>
    </row>
    <row r="66" spans="1:13" ht="16.149999999999999" customHeight="1" thickBot="1" x14ac:dyDescent="0.3">
      <c r="B66" s="8" t="s">
        <v>260</v>
      </c>
      <c r="H66" s="45"/>
      <c r="I66" s="27" t="s">
        <v>27</v>
      </c>
      <c r="J66" s="27" t="s">
        <v>213</v>
      </c>
      <c r="L66"/>
      <c r="M66" s="27"/>
    </row>
    <row r="67" spans="1:13" ht="16.149999999999999" customHeight="1" x14ac:dyDescent="0.25">
      <c r="B67" s="418" t="s">
        <v>220</v>
      </c>
      <c r="C67" s="418"/>
      <c r="D67" s="418"/>
      <c r="E67" s="418"/>
      <c r="F67" s="418"/>
      <c r="G67" s="418"/>
      <c r="L67"/>
    </row>
    <row r="68" spans="1:13" ht="16.149999999999999" customHeight="1" x14ac:dyDescent="0.25">
      <c r="B68" s="418"/>
      <c r="C68" s="418"/>
      <c r="D68" s="418"/>
      <c r="E68" s="418"/>
      <c r="F68" s="418"/>
      <c r="G68" s="418"/>
      <c r="L68"/>
    </row>
    <row r="69" spans="1:13" ht="16.149999999999999" customHeight="1" x14ac:dyDescent="0.25">
      <c r="B69" s="418"/>
      <c r="C69" s="418"/>
      <c r="D69" s="418"/>
      <c r="E69" s="418"/>
      <c r="F69" s="418"/>
      <c r="G69" s="418"/>
      <c r="L69"/>
    </row>
    <row r="70" spans="1:13" ht="16.149999999999999" customHeight="1" x14ac:dyDescent="0.25">
      <c r="B70" s="59"/>
      <c r="C70" s="59"/>
      <c r="D70" s="59"/>
      <c r="E70" s="90"/>
      <c r="F70" s="59"/>
      <c r="G70" s="59"/>
      <c r="L70"/>
    </row>
    <row r="71" spans="1:13" ht="16.149999999999999" customHeight="1" thickBot="1" x14ac:dyDescent="0.3">
      <c r="A71" s="1" t="s">
        <v>10</v>
      </c>
      <c r="K71" s="1"/>
      <c r="L71"/>
    </row>
    <row r="72" spans="1:13" ht="16.149999999999999" customHeight="1" thickBot="1" x14ac:dyDescent="0.3">
      <c r="A72" s="1"/>
      <c r="B72" s="8" t="s">
        <v>378</v>
      </c>
      <c r="H72" s="25" t="str">
        <f>IF(H9="Yes",IF(AND(H18="No",H19="Yes"),0,IF(H21="Pressure Matching",(H34),IF(H21="Flow Grid",(H41),IF(H21="Flow Hood",(H48),IF(H21="Static Pressure Table",(H66)))))),"Prereq Not Met")</f>
        <v>Prereq Not Met</v>
      </c>
      <c r="I72" s="27" t="s">
        <v>27</v>
      </c>
      <c r="K72" s="1"/>
      <c r="L72"/>
    </row>
    <row r="73" spans="1:13" ht="16.149999999999999" customHeight="1" thickBot="1" x14ac:dyDescent="0.4">
      <c r="B73" s="8" t="s">
        <v>221</v>
      </c>
      <c r="H73" s="190" t="str">
        <f>IF(H9="Yes",IF(AND(H18="No",H19="Yes"),0,IF(H21="Pressure Matching",(H34-H12)/H12,IF(H21="Flow Grid",(H41-H12)/H12,IF(H21="Flow Hood",(H48-H12)/H12,IF(H21="Static Pressure Table",(H66-H12)/H12))))),"Prereq Not Met")</f>
        <v>Prereq Not Met</v>
      </c>
      <c r="J73" s="27" t="s">
        <v>222</v>
      </c>
      <c r="L73"/>
    </row>
    <row r="74" spans="1:13" ht="16.149999999999999" customHeight="1" thickBot="1" x14ac:dyDescent="0.3">
      <c r="B74" s="8" t="s">
        <v>261</v>
      </c>
      <c r="H74" s="2" t="str">
        <f>IF(AND(H18="No",H19="Yes"),"Grade I",IF(H9="Yes",IF(ABS(H73)&lt;H77/100,"Grade I",IF(ABS(H73)&lt;H78/100,"Grade II","Grade III")),"Grade III"))</f>
        <v>Grade III</v>
      </c>
      <c r="J74" s="27" t="s">
        <v>223</v>
      </c>
      <c r="L74"/>
    </row>
    <row r="75" spans="1:13" ht="15.75" thickBot="1" x14ac:dyDescent="0.3">
      <c r="L75"/>
    </row>
    <row r="76" spans="1:13" ht="15.75" thickBot="1" x14ac:dyDescent="0.3">
      <c r="B76" s="3" t="s">
        <v>0</v>
      </c>
      <c r="C76" s="4" t="s">
        <v>9</v>
      </c>
      <c r="D76" s="4"/>
      <c r="E76" s="93"/>
      <c r="F76" s="4"/>
      <c r="G76" s="4"/>
      <c r="H76" s="5" t="s">
        <v>82</v>
      </c>
      <c r="L76"/>
    </row>
    <row r="77" spans="1:13" x14ac:dyDescent="0.25">
      <c r="B77" s="9" t="s">
        <v>5</v>
      </c>
      <c r="C77" s="18" t="s">
        <v>224</v>
      </c>
      <c r="D77" s="18"/>
      <c r="E77" s="18"/>
      <c r="F77" s="18" t="s">
        <v>227</v>
      </c>
      <c r="G77" s="18" t="s">
        <v>228</v>
      </c>
      <c r="H77" s="7">
        <v>15</v>
      </c>
      <c r="L77"/>
    </row>
    <row r="78" spans="1:13" x14ac:dyDescent="0.25">
      <c r="B78" s="11" t="s">
        <v>6</v>
      </c>
      <c r="C78" s="19" t="s">
        <v>225</v>
      </c>
      <c r="D78" s="19"/>
      <c r="E78" s="19"/>
      <c r="F78" s="19" t="s">
        <v>227</v>
      </c>
      <c r="G78" s="19" t="s">
        <v>229</v>
      </c>
      <c r="H78" s="6">
        <v>25</v>
      </c>
      <c r="L78"/>
    </row>
    <row r="79" spans="1:13" ht="15.75" thickBot="1" x14ac:dyDescent="0.3">
      <c r="B79" s="13" t="s">
        <v>7</v>
      </c>
      <c r="C79" s="20" t="s">
        <v>226</v>
      </c>
      <c r="D79" s="20"/>
      <c r="E79" s="20"/>
      <c r="F79" s="20" t="s">
        <v>227</v>
      </c>
      <c r="G79" s="20" t="s">
        <v>230</v>
      </c>
      <c r="H79" s="15" t="s">
        <v>8</v>
      </c>
      <c r="L79"/>
    </row>
    <row r="80" spans="1:13" x14ac:dyDescent="0.25">
      <c r="L80"/>
    </row>
    <row r="82" spans="3:7" x14ac:dyDescent="0.25">
      <c r="C82"/>
      <c r="D82"/>
      <c r="E82"/>
      <c r="F82"/>
      <c r="G82"/>
    </row>
    <row r="83" spans="3:7" x14ac:dyDescent="0.25">
      <c r="C83"/>
      <c r="D83"/>
      <c r="E83"/>
      <c r="F83"/>
      <c r="G83"/>
    </row>
    <row r="84" spans="3:7" x14ac:dyDescent="0.25">
      <c r="C84"/>
      <c r="D84"/>
      <c r="E84"/>
      <c r="F84"/>
      <c r="G84"/>
    </row>
  </sheetData>
  <sheetProtection sheet="1" selectLockedCells="1"/>
  <mergeCells count="7">
    <mergeCell ref="H21:I21"/>
    <mergeCell ref="B61:G64"/>
    <mergeCell ref="B67:G69"/>
    <mergeCell ref="B45:D46"/>
    <mergeCell ref="J1:J2"/>
    <mergeCell ref="B15:G16"/>
    <mergeCell ref="B51:G53"/>
  </mergeCells>
  <conditionalFormatting sqref="H29 H32">
    <cfRule type="cellIs" dxfId="57" priority="51" operator="lessThan">
      <formula>0</formula>
    </cfRule>
  </conditionalFormatting>
  <conditionalFormatting sqref="H39">
    <cfRule type="cellIs" dxfId="56" priority="42" operator="lessThan">
      <formula>0</formula>
    </cfRule>
  </conditionalFormatting>
  <conditionalFormatting sqref="H4:H5">
    <cfRule type="cellIs" dxfId="55" priority="35" operator="equal">
      <formula>"No"</formula>
    </cfRule>
  </conditionalFormatting>
  <conditionalFormatting sqref="H9">
    <cfRule type="cellIs" dxfId="54" priority="34" operator="equal">
      <formula>"No"</formula>
    </cfRule>
  </conditionalFormatting>
  <conditionalFormatting sqref="H5">
    <cfRule type="cellIs" dxfId="53" priority="32" operator="equal">
      <formula>"No"</formula>
    </cfRule>
  </conditionalFormatting>
  <conditionalFormatting sqref="H21">
    <cfRule type="expression" dxfId="52" priority="31">
      <formula>AND(OR($H$20="Grade II",$H$20="Grade III"),$H$21="Flow Hood")</formula>
    </cfRule>
  </conditionalFormatting>
  <conditionalFormatting sqref="H51">
    <cfRule type="cellIs" dxfId="51" priority="29" operator="equal">
      <formula>"No"</formula>
    </cfRule>
  </conditionalFormatting>
  <conditionalFormatting sqref="H20">
    <cfRule type="cellIs" dxfId="50" priority="28" operator="equal">
      <formula>"No"</formula>
    </cfRule>
  </conditionalFormatting>
  <conditionalFormatting sqref="H6">
    <cfRule type="cellIs" dxfId="49" priority="27" operator="equal">
      <formula>"No"</formula>
    </cfRule>
  </conditionalFormatting>
  <conditionalFormatting sqref="H6">
    <cfRule type="cellIs" dxfId="48" priority="26" operator="equal">
      <formula>"No"</formula>
    </cfRule>
  </conditionalFormatting>
  <conditionalFormatting sqref="H7">
    <cfRule type="cellIs" dxfId="47" priority="25" operator="equal">
      <formula>"No"</formula>
    </cfRule>
  </conditionalFormatting>
  <conditionalFormatting sqref="H7">
    <cfRule type="cellIs" dxfId="46" priority="24" operator="equal">
      <formula>"No"</formula>
    </cfRule>
  </conditionalFormatting>
  <conditionalFormatting sqref="H8">
    <cfRule type="cellIs" dxfId="45" priority="23" operator="equal">
      <formula>"No"</formula>
    </cfRule>
  </conditionalFormatting>
  <conditionalFormatting sqref="H8">
    <cfRule type="cellIs" dxfId="44" priority="22" operator="equal">
      <formula>"No"</formula>
    </cfRule>
  </conditionalFormatting>
  <conditionalFormatting sqref="H24:H26">
    <cfRule type="cellIs" dxfId="43" priority="20" operator="equal">
      <formula>"No"</formula>
    </cfRule>
  </conditionalFormatting>
  <conditionalFormatting sqref="H24:H26">
    <cfRule type="cellIs" dxfId="42" priority="19" operator="equal">
      <formula>"No"</formula>
    </cfRule>
  </conditionalFormatting>
  <conditionalFormatting sqref="H30">
    <cfRule type="cellIs" dxfId="41" priority="18" operator="lessThan">
      <formula>0</formula>
    </cfRule>
  </conditionalFormatting>
  <conditionalFormatting sqref="H29">
    <cfRule type="cellIs" dxfId="40" priority="17" operator="lessThan">
      <formula>0</formula>
    </cfRule>
  </conditionalFormatting>
  <conditionalFormatting sqref="H31">
    <cfRule type="cellIs" dxfId="39" priority="16" operator="lessThan">
      <formula>0</formula>
    </cfRule>
  </conditionalFormatting>
  <conditionalFormatting sqref="H38">
    <cfRule type="cellIs" dxfId="38" priority="15" operator="lessThan">
      <formula>0</formula>
    </cfRule>
  </conditionalFormatting>
  <conditionalFormatting sqref="H37">
    <cfRule type="cellIs" dxfId="37" priority="14" operator="lessThan">
      <formula>0</formula>
    </cfRule>
  </conditionalFormatting>
  <conditionalFormatting sqref="H37">
    <cfRule type="cellIs" dxfId="36" priority="13" operator="lessThan">
      <formula>0</formula>
    </cfRule>
  </conditionalFormatting>
  <conditionalFormatting sqref="H55">
    <cfRule type="cellIs" dxfId="35" priority="12" operator="lessThan">
      <formula>0</formula>
    </cfRule>
  </conditionalFormatting>
  <conditionalFormatting sqref="H57">
    <cfRule type="cellIs" dxfId="34" priority="11" operator="greaterThan">
      <formula>0</formula>
    </cfRule>
  </conditionalFormatting>
  <conditionalFormatting sqref="H56">
    <cfRule type="cellIs" dxfId="33" priority="10" operator="lessThan">
      <formula>0</formula>
    </cfRule>
  </conditionalFormatting>
  <conditionalFormatting sqref="H58">
    <cfRule type="cellIs" dxfId="32" priority="9" operator="lessThan">
      <formula>0</formula>
    </cfRule>
  </conditionalFormatting>
  <conditionalFormatting sqref="H19">
    <cfRule type="expression" dxfId="31" priority="7">
      <formula>AND(H19="Yes",H18="Yes")</formula>
    </cfRule>
    <cfRule type="expression" dxfId="30" priority="8">
      <formula>AND(H19="Yes",H18="Yes")</formula>
    </cfRule>
  </conditionalFormatting>
  <conditionalFormatting sqref="I29">
    <cfRule type="cellIs" dxfId="29" priority="6" operator="lessThan">
      <formula>0</formula>
    </cfRule>
  </conditionalFormatting>
  <conditionalFormatting sqref="I32">
    <cfRule type="cellIs" dxfId="28" priority="5" operator="lessThan">
      <formula>0</formula>
    </cfRule>
  </conditionalFormatting>
  <conditionalFormatting sqref="I37">
    <cfRule type="cellIs" dxfId="27" priority="4" operator="lessThan">
      <formula>0</formula>
    </cfRule>
  </conditionalFormatting>
  <conditionalFormatting sqref="I39">
    <cfRule type="cellIs" dxfId="26" priority="3" operator="lessThan">
      <formula>0</formula>
    </cfRule>
  </conditionalFormatting>
  <conditionalFormatting sqref="I55">
    <cfRule type="cellIs" dxfId="25" priority="2" operator="lessThan">
      <formula>0</formula>
    </cfRule>
  </conditionalFormatting>
  <conditionalFormatting sqref="I57">
    <cfRule type="cellIs" dxfId="24" priority="1" operator="lessThan">
      <formula>0</formula>
    </cfRule>
  </conditionalFormatting>
  <dataValidations count="7">
    <dataValidation type="list" allowBlank="1" showInputMessage="1" showErrorMessage="1" sqref="H21" xr:uid="{00000000-0002-0000-0200-000001000000}">
      <formula1>"Pressure Matching,Flow Grid,Flow Hood,  Static Pressure Table"</formula1>
    </dataValidation>
    <dataValidation type="list" allowBlank="1" showInputMessage="1" showErrorMessage="1" sqref="H51" xr:uid="{00000000-0002-0000-0200-000002000000}">
      <formula1>"PSC,ECM,Other"</formula1>
    </dataValidation>
    <dataValidation type="list" allowBlank="1" showInputMessage="1" showErrorMessage="1" sqref="H4:H5 H9 H15 H17 H58 H30 H38 H56 H24 H26 H19" xr:uid="{00000000-0002-0000-0200-000000000000}">
      <formula1>"Yes,No"</formula1>
    </dataValidation>
    <dataValidation type="list" allowBlank="1" showInputMessage="1" showErrorMessage="1" sqref="H6:H8" xr:uid="{D0638760-00C0-4255-B467-6897CF5F4562}">
      <formula1>"Yes,No,N/A"</formula1>
    </dataValidation>
    <dataValidation type="list" allowBlank="1" showInputMessage="1" showErrorMessage="1" sqref="H31" xr:uid="{9405442C-707F-485C-B281-FCC02B5C7F02}">
      <formula1>"Blower Comp,Return Grille"</formula1>
    </dataValidation>
    <dataValidation type="list" allowBlank="1" showInputMessage="1" showErrorMessage="1" sqref="H25" xr:uid="{DBEAF0BA-3CC5-4E5C-92DD-CF1DE21F365F}">
      <formula1>"Cooling,Heating"</formula1>
    </dataValidation>
    <dataValidation type="list" allowBlank="1" showInputMessage="1" showErrorMessage="1" sqref="I29 I37 I32 I39 I55 I57" xr:uid="{450D4EDF-BDD0-4BF0-BB85-7BD53B4325FC}">
      <formula1>"IWC,Pa"</formula1>
    </dataValidation>
  </dataValidations>
  <pageMargins left="0.4" right="0.4" top="0.4" bottom="0.4" header="0.3" footer="0.3"/>
  <pageSetup scale="60" orientation="portrait" horizontalDpi="1200" verticalDpi="1200" r:id="rId1"/>
  <headerFooter>
    <oddFooter>&amp;C&amp;A&amp;Rv1.3</oddFooter>
  </headerFooter>
  <rowBreaks count="1" manualBreakCount="1">
    <brk id="4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4" tint="0.79998168889431442"/>
  </sheetPr>
  <dimension ref="A1:M70"/>
  <sheetViews>
    <sheetView showGridLines="0" zoomScaleNormal="100" workbookViewId="0">
      <selection activeCell="H11" sqref="H11:I11"/>
    </sheetView>
  </sheetViews>
  <sheetFormatPr defaultColWidth="9.28515625" defaultRowHeight="15" x14ac:dyDescent="0.25"/>
  <cols>
    <col min="1" max="1" width="1.7109375" style="8" customWidth="1"/>
    <col min="2" max="3" width="9.7109375" style="8" customWidth="1"/>
    <col min="4" max="4" width="10.42578125" style="8" customWidth="1"/>
    <col min="5" max="5" width="2.28515625" style="8" customWidth="1"/>
    <col min="6" max="6" width="9.7109375" style="8" customWidth="1"/>
    <col min="7" max="7" width="13" style="8" customWidth="1"/>
    <col min="8" max="8" width="16.5703125" style="8" customWidth="1"/>
    <col min="9" max="9" width="11" style="8" customWidth="1"/>
    <col min="10" max="10" width="17.5703125" style="27" customWidth="1"/>
    <col min="11" max="11" width="2.28515625" style="31" customWidth="1"/>
    <col min="12" max="12" width="11" style="8" customWidth="1"/>
    <col min="13" max="13" width="46.42578125" style="8" customWidth="1"/>
    <col min="14" max="16384" width="9.28515625" style="8"/>
  </cols>
  <sheetData>
    <row r="1" spans="1:13" ht="16.149999999999999" customHeight="1" x14ac:dyDescent="0.25">
      <c r="A1" s="1" t="s">
        <v>405</v>
      </c>
      <c r="J1" s="403" t="s">
        <v>183</v>
      </c>
    </row>
    <row r="2" spans="1:13" ht="16.149999999999999" customHeight="1" x14ac:dyDescent="0.25">
      <c r="A2" s="1" t="s">
        <v>385</v>
      </c>
      <c r="J2" s="403"/>
      <c r="K2" s="182"/>
      <c r="L2" s="183" t="s">
        <v>11</v>
      </c>
      <c r="M2" s="184"/>
    </row>
    <row r="3" spans="1:13" ht="16.149999999999999" customHeight="1" thickBot="1" x14ac:dyDescent="0.3">
      <c r="A3" s="1" t="s">
        <v>25</v>
      </c>
      <c r="H3" s="31"/>
      <c r="I3" s="31"/>
      <c r="K3" s="185"/>
      <c r="L3" s="179">
        <v>123</v>
      </c>
      <c r="M3" s="186" t="s">
        <v>1</v>
      </c>
    </row>
    <row r="4" spans="1:13" ht="16.149999999999999" customHeight="1" thickBot="1" x14ac:dyDescent="0.3">
      <c r="A4" s="39"/>
      <c r="B4" s="8" t="s">
        <v>231</v>
      </c>
      <c r="C4" s="31"/>
      <c r="D4" s="31"/>
      <c r="E4" s="31"/>
      <c r="F4" s="31"/>
      <c r="G4" s="31"/>
      <c r="H4" s="2" t="str">
        <f>IF('3. Blower Fan Airflow'!H74="Grade III","No","Yes")</f>
        <v>No</v>
      </c>
      <c r="I4" s="31"/>
      <c r="J4" s="67">
        <v>7.2</v>
      </c>
      <c r="K4" s="185"/>
      <c r="L4" s="180">
        <v>123</v>
      </c>
      <c r="M4" s="186" t="s">
        <v>2</v>
      </c>
    </row>
    <row r="5" spans="1:13" ht="16.149999999999999" customHeight="1" x14ac:dyDescent="0.25">
      <c r="B5" s="22"/>
      <c r="C5" s="22"/>
      <c r="D5" s="22"/>
      <c r="E5" s="22"/>
      <c r="F5" s="22"/>
      <c r="G5" s="22"/>
      <c r="H5"/>
      <c r="I5"/>
      <c r="K5" s="185"/>
      <c r="L5" s="181">
        <v>123</v>
      </c>
      <c r="M5" s="186" t="s">
        <v>3</v>
      </c>
    </row>
    <row r="6" spans="1:13" ht="16.149999999999999" customHeight="1" thickBot="1" x14ac:dyDescent="0.3">
      <c r="A6" s="1" t="s">
        <v>196</v>
      </c>
      <c r="B6" s="59"/>
      <c r="C6" s="59"/>
      <c r="D6" s="59"/>
      <c r="E6" s="90"/>
      <c r="F6" s="59"/>
      <c r="G6" s="59"/>
      <c r="H6" s="59"/>
      <c r="J6" s="64"/>
      <c r="K6" s="187"/>
      <c r="L6" s="188"/>
      <c r="M6" s="189"/>
    </row>
    <row r="7" spans="1:13" ht="16.149999999999999" customHeight="1" thickBot="1" x14ac:dyDescent="0.3">
      <c r="A7" s="1"/>
      <c r="B7" s="8" t="s">
        <v>232</v>
      </c>
      <c r="H7" s="44" t="s">
        <v>4</v>
      </c>
      <c r="I7" s="27"/>
      <c r="J7" s="27">
        <v>7.3</v>
      </c>
      <c r="K7" s="8"/>
    </row>
    <row r="8" spans="1:13" ht="16.149999999999999" customHeight="1" thickBot="1" x14ac:dyDescent="0.3">
      <c r="A8" s="1"/>
      <c r="B8" s="8" t="s">
        <v>235</v>
      </c>
      <c r="H8" s="44" t="s">
        <v>236</v>
      </c>
      <c r="I8" s="27"/>
      <c r="J8" s="27" t="s">
        <v>238</v>
      </c>
      <c r="K8"/>
    </row>
    <row r="9" spans="1:13" ht="16.149999999999999" customHeight="1" x14ac:dyDescent="0.25">
      <c r="A9" s="1"/>
      <c r="H9" s="27"/>
      <c r="I9" s="27"/>
      <c r="K9"/>
    </row>
    <row r="10" spans="1:13" ht="16.149999999999999" customHeight="1" thickBot="1" x14ac:dyDescent="0.3">
      <c r="A10" s="1" t="s">
        <v>37</v>
      </c>
      <c r="B10" s="28"/>
      <c r="C10" s="28"/>
      <c r="D10" s="28"/>
      <c r="E10" s="90"/>
      <c r="F10" s="28"/>
      <c r="G10" s="28"/>
      <c r="H10" s="28"/>
      <c r="K10"/>
    </row>
    <row r="11" spans="1:13" ht="16.149999999999999" customHeight="1" thickBot="1" x14ac:dyDescent="0.3">
      <c r="B11" s="33" t="s">
        <v>263</v>
      </c>
      <c r="C11" s="22"/>
      <c r="D11" s="22"/>
      <c r="E11" s="22"/>
      <c r="F11" s="22"/>
      <c r="G11" s="22"/>
      <c r="H11" s="421" t="s">
        <v>239</v>
      </c>
      <c r="I11" s="422"/>
      <c r="K11"/>
    </row>
    <row r="12" spans="1:13" ht="16.149999999999999" customHeight="1" x14ac:dyDescent="0.25">
      <c r="B12" s="33"/>
      <c r="C12" s="22"/>
      <c r="D12" s="22"/>
      <c r="E12" s="22"/>
      <c r="F12" s="22"/>
      <c r="G12" s="22"/>
      <c r="H12" s="22"/>
      <c r="I12" s="22"/>
      <c r="K12"/>
    </row>
    <row r="13" spans="1:13" ht="16.149999999999999" customHeight="1" x14ac:dyDescent="0.25">
      <c r="A13" s="1" t="s">
        <v>43</v>
      </c>
      <c r="B13" s="22"/>
      <c r="C13" s="22"/>
      <c r="D13" s="22"/>
      <c r="E13" s="22"/>
      <c r="F13" s="22"/>
      <c r="G13" s="22"/>
      <c r="H13" s="22"/>
      <c r="K13"/>
    </row>
    <row r="14" spans="1:13" ht="16.149999999999999" customHeight="1" thickBot="1" x14ac:dyDescent="0.3">
      <c r="B14" s="1" t="s">
        <v>239</v>
      </c>
      <c r="K14"/>
    </row>
    <row r="15" spans="1:13" ht="16.149999999999999" customHeight="1" thickBot="1" x14ac:dyDescent="0.3">
      <c r="B15" s="8" t="s">
        <v>54</v>
      </c>
      <c r="H15" s="52"/>
      <c r="I15" s="27" t="s">
        <v>49</v>
      </c>
      <c r="J15" s="423" t="s">
        <v>241</v>
      </c>
      <c r="K15"/>
    </row>
    <row r="16" spans="1:13" ht="16.149999999999999" customHeight="1" x14ac:dyDescent="0.25">
      <c r="D16"/>
      <c r="E16"/>
      <c r="F16"/>
      <c r="G16"/>
      <c r="J16" s="423"/>
      <c r="K16"/>
    </row>
    <row r="17" spans="1:13" ht="16.149999999999999" customHeight="1" thickBot="1" x14ac:dyDescent="0.3">
      <c r="B17" s="1" t="s">
        <v>240</v>
      </c>
      <c r="K17"/>
    </row>
    <row r="18" spans="1:13" ht="16.149999999999999" customHeight="1" thickBot="1" x14ac:dyDescent="0.3">
      <c r="B18" s="8" t="s">
        <v>54</v>
      </c>
      <c r="H18" s="52"/>
      <c r="I18" s="27" t="s">
        <v>49</v>
      </c>
      <c r="J18" s="423" t="s">
        <v>242</v>
      </c>
      <c r="K18"/>
    </row>
    <row r="19" spans="1:13" ht="16.149999999999999" customHeight="1" x14ac:dyDescent="0.25">
      <c r="D19"/>
      <c r="E19"/>
      <c r="F19"/>
      <c r="G19"/>
      <c r="J19" s="423"/>
      <c r="K19"/>
    </row>
    <row r="20" spans="1:13" ht="16.149999999999999" customHeight="1" thickBot="1" x14ac:dyDescent="0.3">
      <c r="B20" s="1" t="s">
        <v>233</v>
      </c>
      <c r="K20"/>
    </row>
    <row r="21" spans="1:13" ht="16.149999999999999" customHeight="1" thickBot="1" x14ac:dyDescent="0.3">
      <c r="B21" s="8" t="s">
        <v>46</v>
      </c>
      <c r="H21" s="52"/>
      <c r="J21" s="27" t="s">
        <v>97</v>
      </c>
      <c r="K21"/>
    </row>
    <row r="22" spans="1:13" ht="15.75" thickBot="1" x14ac:dyDescent="0.3">
      <c r="B22" s="8" t="s">
        <v>47</v>
      </c>
      <c r="H22" s="52"/>
      <c r="I22" s="27" t="s">
        <v>50</v>
      </c>
      <c r="J22" s="27" t="s">
        <v>98</v>
      </c>
      <c r="K22"/>
    </row>
    <row r="23" spans="1:13" ht="16.149999999999999" customHeight="1" thickBot="1" x14ac:dyDescent="0.3">
      <c r="B23" s="8" t="s">
        <v>234</v>
      </c>
      <c r="H23" s="52"/>
      <c r="I23" s="27" t="s">
        <v>48</v>
      </c>
      <c r="J23" s="27" t="s">
        <v>98</v>
      </c>
      <c r="K23"/>
      <c r="L23"/>
      <c r="M23"/>
    </row>
    <row r="24" spans="1:13" ht="16.149999999999999" customHeight="1" thickBot="1" x14ac:dyDescent="0.3">
      <c r="B24" s="8" t="s">
        <v>264</v>
      </c>
      <c r="H24" s="2" t="e">
        <f>H21*H22*3600/H23</f>
        <v>#DIV/0!</v>
      </c>
      <c r="I24" s="27" t="s">
        <v>49</v>
      </c>
      <c r="J24" s="27" t="s">
        <v>99</v>
      </c>
      <c r="K24"/>
    </row>
    <row r="25" spans="1:13" ht="16.149999999999999" customHeight="1" x14ac:dyDescent="0.25">
      <c r="D25"/>
      <c r="E25"/>
      <c r="F25"/>
      <c r="G25"/>
      <c r="K25"/>
    </row>
    <row r="26" spans="1:13" ht="16.149999999999999" customHeight="1" thickBot="1" x14ac:dyDescent="0.3">
      <c r="B26" s="1" t="s">
        <v>103</v>
      </c>
      <c r="K26"/>
    </row>
    <row r="27" spans="1:13" ht="16.149999999999999" customHeight="1" thickBot="1" x14ac:dyDescent="0.3">
      <c r="B27" s="8" t="s">
        <v>54</v>
      </c>
      <c r="H27" s="52"/>
      <c r="I27" s="27" t="s">
        <v>49</v>
      </c>
      <c r="J27" s="27" t="s">
        <v>100</v>
      </c>
      <c r="K27"/>
    </row>
    <row r="28" spans="1:13" ht="16.149999999999999" customHeight="1" x14ac:dyDescent="0.25">
      <c r="J28" s="64"/>
      <c r="K28"/>
    </row>
    <row r="29" spans="1:13" ht="16.149999999999999" customHeight="1" thickBot="1" x14ac:dyDescent="0.3">
      <c r="A29" s="1" t="s">
        <v>10</v>
      </c>
      <c r="J29" s="64"/>
      <c r="K29"/>
    </row>
    <row r="30" spans="1:13" ht="16.149999999999999" customHeight="1" thickBot="1" x14ac:dyDescent="0.3">
      <c r="A30" s="1"/>
      <c r="B30" s="8" t="s">
        <v>297</v>
      </c>
      <c r="H30" s="86">
        <f>IF('3. Blower Fan Airflow'!H21:I21="Pressure Matching",'3. Blower Fan Airflow'!H34,IF('3. Blower Fan Airflow'!H21:I21="Flow Grid",'3. Blower Fan Airflow'!H41,IF('3. Blower Fan Airflow'!H21:I21="Flow Hood",'3. Blower Fan Airflow'!H48,IF('3. Blower Fan Airflow'!H21:I21="Static Pressure Table",'3. Blower Fan Airflow'!H66))))</f>
        <v>0</v>
      </c>
      <c r="I30" s="27" t="s">
        <v>27</v>
      </c>
      <c r="J30" s="27" t="s">
        <v>101</v>
      </c>
      <c r="K30"/>
    </row>
    <row r="31" spans="1:13" ht="16.149999999999999" customHeight="1" thickBot="1" x14ac:dyDescent="0.3">
      <c r="A31" s="1"/>
      <c r="B31" s="8" t="s">
        <v>379</v>
      </c>
      <c r="H31" s="86" t="str">
        <f>IF(AND(H4="Yes",'3. Blower Fan Airflow'!H73&lt;&gt;"Prereq Not Met"),IF(H11="Portable Plug-In Watt Meter",H15,IF(H11="Clamp-On Watt Meter",H18,IF(H11="Utility Revenue Meter",H24,IF(H11="Digital Utility Revenue Meter",H27,)))),"Prereq Not Met")</f>
        <v>Prereq Not Met</v>
      </c>
      <c r="I31" s="27" t="s">
        <v>49</v>
      </c>
      <c r="K31"/>
    </row>
    <row r="32" spans="1:13" ht="16.149999999999999" customHeight="1" thickBot="1" x14ac:dyDescent="0.3">
      <c r="B32" s="8" t="s">
        <v>55</v>
      </c>
      <c r="H32" s="40" t="str">
        <f>IF(AND(H4="Yes",'3. Blower Fan Airflow'!H73&lt;&gt;"Prereq Not Met"),IF(H11="Portable Plug-In Watt Meter",H15,IF(H11="Clamp-On Watt Meter",H18,IF(H11="Utility Revenue Meter",H24,IF(H11="Digital Utility Revenue Meter",H27,))))/H30,"Prereq Not Met")</f>
        <v>Prereq Not Met</v>
      </c>
      <c r="I32" s="27" t="s">
        <v>51</v>
      </c>
      <c r="J32" s="27" t="s">
        <v>101</v>
      </c>
      <c r="K32"/>
    </row>
    <row r="33" spans="2:11" ht="16.149999999999999" customHeight="1" thickBot="1" x14ac:dyDescent="0.3">
      <c r="B33" s="8" t="s">
        <v>265</v>
      </c>
      <c r="H33" s="2" t="str">
        <f>IF(H4="Yes",IF(H32&gt;F37,"Grade III",IF(H32&gt;F36,"Grade II","Grade I")),"Grade III")</f>
        <v>Grade III</v>
      </c>
      <c r="J33" s="27" t="s">
        <v>102</v>
      </c>
      <c r="K33"/>
    </row>
    <row r="34" spans="2:11" ht="16.149999999999999" customHeight="1" thickBot="1" x14ac:dyDescent="0.3">
      <c r="K34"/>
    </row>
    <row r="35" spans="2:11" ht="16.149999999999999" customHeight="1" thickBot="1" x14ac:dyDescent="0.3">
      <c r="B35" s="3" t="s">
        <v>0</v>
      </c>
      <c r="C35" s="4" t="s">
        <v>9</v>
      </c>
      <c r="D35" s="4"/>
      <c r="E35" s="93"/>
      <c r="F35" s="5" t="s">
        <v>23</v>
      </c>
      <c r="K35"/>
    </row>
    <row r="36" spans="2:11" ht="16.149999999999999" customHeight="1" x14ac:dyDescent="0.25">
      <c r="B36" s="9" t="s">
        <v>5</v>
      </c>
      <c r="C36" s="18" t="str">
        <f>"≤ "&amp;F36</f>
        <v>≤ 0.45</v>
      </c>
      <c r="D36" s="18"/>
      <c r="E36" s="18"/>
      <c r="F36" s="29">
        <v>0.45</v>
      </c>
      <c r="K36"/>
    </row>
    <row r="37" spans="2:11" ht="16.149999999999999" customHeight="1" x14ac:dyDescent="0.25">
      <c r="B37" s="11" t="s">
        <v>6</v>
      </c>
      <c r="C37" s="19" t="str">
        <f>"&gt; "&amp;F36&amp;" and ≤ "&amp;F37</f>
        <v>&gt; 0.45 and ≤ 0.58</v>
      </c>
      <c r="D37" s="19"/>
      <c r="E37" s="19"/>
      <c r="F37" s="30">
        <v>0.57999999999999996</v>
      </c>
      <c r="K37"/>
    </row>
    <row r="38" spans="2:11" ht="16.149999999999999" customHeight="1" thickBot="1" x14ac:dyDescent="0.3">
      <c r="B38" s="13" t="s">
        <v>7</v>
      </c>
      <c r="C38" s="20" t="str">
        <f>"&gt; "&amp;F37</f>
        <v>&gt; 0.58</v>
      </c>
      <c r="D38" s="20"/>
      <c r="E38" s="20"/>
      <c r="F38" s="15" t="s">
        <v>8</v>
      </c>
      <c r="K38"/>
    </row>
    <row r="39" spans="2:11" ht="16.149999999999999" customHeight="1" x14ac:dyDescent="0.25">
      <c r="K39"/>
    </row>
    <row r="40" spans="2:11" ht="16.149999999999999" customHeight="1" x14ac:dyDescent="0.25">
      <c r="K40"/>
    </row>
    <row r="41" spans="2:11" ht="16.149999999999999" customHeight="1" x14ac:dyDescent="0.25">
      <c r="K41"/>
    </row>
    <row r="42" spans="2:11" ht="16.149999999999999" customHeight="1" x14ac:dyDescent="0.25">
      <c r="K42"/>
    </row>
    <row r="43" spans="2:11" x14ac:dyDescent="0.25">
      <c r="K43"/>
    </row>
    <row r="44" spans="2:11" x14ac:dyDescent="0.25">
      <c r="K44"/>
    </row>
    <row r="45" spans="2:11" x14ac:dyDescent="0.25">
      <c r="K45"/>
    </row>
    <row r="46" spans="2:11" x14ac:dyDescent="0.25">
      <c r="K46"/>
    </row>
    <row r="47" spans="2:11" x14ac:dyDescent="0.25">
      <c r="K47"/>
    </row>
    <row r="48" spans="2:11" x14ac:dyDescent="0.25">
      <c r="K48"/>
    </row>
    <row r="49" spans="11:11" x14ac:dyDescent="0.25">
      <c r="K49"/>
    </row>
    <row r="50" spans="11:11" x14ac:dyDescent="0.25">
      <c r="K50"/>
    </row>
    <row r="51" spans="11:11" x14ac:dyDescent="0.25">
      <c r="K51"/>
    </row>
    <row r="52" spans="11:11" x14ac:dyDescent="0.25">
      <c r="K52"/>
    </row>
    <row r="67" spans="10:10" x14ac:dyDescent="0.25">
      <c r="J67" s="64"/>
    </row>
    <row r="68" spans="10:10" x14ac:dyDescent="0.25">
      <c r="J68" s="64"/>
    </row>
    <row r="69" spans="10:10" x14ac:dyDescent="0.25">
      <c r="J69" s="64"/>
    </row>
    <row r="70" spans="10:10" x14ac:dyDescent="0.25">
      <c r="J70" s="64"/>
    </row>
  </sheetData>
  <sheetProtection sheet="1" selectLockedCells="1"/>
  <mergeCells count="4">
    <mergeCell ref="H11:I11"/>
    <mergeCell ref="J1:J2"/>
    <mergeCell ref="J15:J16"/>
    <mergeCell ref="J18:J19"/>
  </mergeCells>
  <conditionalFormatting sqref="H15">
    <cfRule type="cellIs" dxfId="23" priority="10" operator="lessThan">
      <formula>0</formula>
    </cfRule>
  </conditionalFormatting>
  <conditionalFormatting sqref="H21">
    <cfRule type="cellIs" dxfId="22" priority="9" operator="lessThan">
      <formula>0</formula>
    </cfRule>
  </conditionalFormatting>
  <conditionalFormatting sqref="H27">
    <cfRule type="cellIs" dxfId="21" priority="8" operator="lessThan">
      <formula>0</formula>
    </cfRule>
  </conditionalFormatting>
  <conditionalFormatting sqref="H4">
    <cfRule type="cellIs" dxfId="20" priority="6" operator="equal">
      <formula>"No"</formula>
    </cfRule>
  </conditionalFormatting>
  <conditionalFormatting sqref="H7">
    <cfRule type="cellIs" dxfId="19" priority="5" operator="equal">
      <formula>"No"</formula>
    </cfRule>
  </conditionalFormatting>
  <conditionalFormatting sqref="H7">
    <cfRule type="cellIs" dxfId="18" priority="4" operator="equal">
      <formula>"No"</formula>
    </cfRule>
  </conditionalFormatting>
  <conditionalFormatting sqref="H8">
    <cfRule type="cellIs" dxfId="17" priority="3" operator="equal">
      <formula>"No"</formula>
    </cfRule>
  </conditionalFormatting>
  <conditionalFormatting sqref="H8">
    <cfRule type="cellIs" dxfId="16" priority="2" operator="equal">
      <formula>"No"</formula>
    </cfRule>
  </conditionalFormatting>
  <conditionalFormatting sqref="H18">
    <cfRule type="cellIs" dxfId="15" priority="1" operator="lessThan">
      <formula>0</formula>
    </cfRule>
  </conditionalFormatting>
  <dataValidations count="3">
    <dataValidation type="list" allowBlank="1" showInputMessage="1" showErrorMessage="1" sqref="H4 H7" xr:uid="{00000000-0002-0000-0300-000000000000}">
      <formula1>"Yes,No"</formula1>
    </dataValidation>
    <dataValidation type="list" allowBlank="1" showInputMessage="1" showErrorMessage="1" sqref="H11:I11" xr:uid="{00000000-0002-0000-0300-000001000000}">
      <formula1>"Portable Plug-In Watt Meter,Clamp-On Watt Meter,Utility Revenue Meter, Digital Utility Revenue Meter"</formula1>
    </dataValidation>
    <dataValidation type="list" allowBlank="1" showInputMessage="1" showErrorMessage="1" sqref="H8" xr:uid="{24E26C2C-4560-4044-9080-7E4DC71EA723}">
      <formula1>"Cooling,Heating"</formula1>
    </dataValidation>
  </dataValidations>
  <pageMargins left="0.4" right="0.4" top="0.4" bottom="0.4" header="0.3" footer="0.3"/>
  <pageSetup scale="60" orientation="portrait" horizontalDpi="1200" verticalDpi="1200" r:id="rId1"/>
  <headerFooter>
    <oddFooter>&amp;C&amp;A&amp;Rv1.3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4" tint="0.79998168889431442"/>
  </sheetPr>
  <dimension ref="A1:S106"/>
  <sheetViews>
    <sheetView showGridLines="0" topLeftCell="A55" zoomScaleNormal="100" workbookViewId="0">
      <selection activeCell="H76" sqref="H76"/>
    </sheetView>
  </sheetViews>
  <sheetFormatPr defaultColWidth="9.28515625" defaultRowHeight="15" x14ac:dyDescent="0.25"/>
  <cols>
    <col min="1" max="1" width="1.7109375" style="8" customWidth="1"/>
    <col min="2" max="2" width="16.42578125" style="8" customWidth="1"/>
    <col min="3" max="5" width="9.7109375" style="8" customWidth="1"/>
    <col min="6" max="6" width="3" style="8" customWidth="1"/>
    <col min="7" max="7" width="23" style="8" customWidth="1"/>
    <col min="8" max="8" width="16.5703125" style="8" customWidth="1"/>
    <col min="9" max="9" width="9.28515625" style="8"/>
    <col min="10" max="10" width="17.5703125" style="27" customWidth="1"/>
    <col min="11" max="11" width="2.28515625" style="8" customWidth="1"/>
    <col min="12" max="12" width="11" style="8" customWidth="1"/>
    <col min="13" max="13" width="46.42578125" style="8" customWidth="1"/>
    <col min="14" max="16384" width="9.28515625" style="8"/>
  </cols>
  <sheetData>
    <row r="1" spans="1:13" ht="16.149999999999999" customHeight="1" x14ac:dyDescent="0.25">
      <c r="A1" s="1" t="s">
        <v>405</v>
      </c>
      <c r="J1" s="403" t="s">
        <v>183</v>
      </c>
    </row>
    <row r="2" spans="1:13" ht="16.149999999999999" customHeight="1" x14ac:dyDescent="0.25">
      <c r="A2" s="1" t="s">
        <v>386</v>
      </c>
      <c r="J2" s="403"/>
      <c r="K2" s="182"/>
      <c r="L2" s="183" t="s">
        <v>11</v>
      </c>
      <c r="M2" s="184"/>
    </row>
    <row r="3" spans="1:13" ht="16.149999999999999" customHeight="1" thickBot="1" x14ac:dyDescent="0.3">
      <c r="A3" s="1" t="s">
        <v>25</v>
      </c>
      <c r="K3" s="185"/>
      <c r="L3" s="179">
        <v>123</v>
      </c>
      <c r="M3" s="186" t="s">
        <v>1</v>
      </c>
    </row>
    <row r="4" spans="1:13" ht="16.149999999999999" customHeight="1" thickBot="1" x14ac:dyDescent="0.3">
      <c r="A4" s="1"/>
      <c r="B4" s="8" t="s">
        <v>231</v>
      </c>
      <c r="G4" s="31"/>
      <c r="H4" s="2" t="str">
        <f>IF(OR('3. Blower Fan Airflow'!H74="Grade I",'3. Blower Fan Airflow'!H74="Grade II"),"Yes","No")</f>
        <v>No</v>
      </c>
      <c r="J4" s="70" t="s">
        <v>104</v>
      </c>
      <c r="K4" s="185"/>
      <c r="L4" s="180">
        <v>123</v>
      </c>
      <c r="M4" s="186" t="s">
        <v>2</v>
      </c>
    </row>
    <row r="5" spans="1:13" ht="16.149999999999999" customHeight="1" x14ac:dyDescent="0.25">
      <c r="A5" s="1"/>
      <c r="K5" s="185"/>
      <c r="L5" s="181">
        <v>123</v>
      </c>
      <c r="M5" s="186" t="s">
        <v>3</v>
      </c>
    </row>
    <row r="6" spans="1:13" ht="16.149999999999999" customHeight="1" thickBot="1" x14ac:dyDescent="0.3">
      <c r="A6" s="1" t="s">
        <v>37</v>
      </c>
      <c r="K6" s="187"/>
      <c r="L6" s="188"/>
      <c r="M6" s="189"/>
    </row>
    <row r="7" spans="1:13" ht="16.149999999999999" customHeight="1" thickBot="1" x14ac:dyDescent="0.3">
      <c r="A7" s="1"/>
      <c r="B7" s="8" t="s">
        <v>271</v>
      </c>
      <c r="H7" s="45"/>
      <c r="I7" s="27" t="s">
        <v>53</v>
      </c>
      <c r="J7" s="12" t="s">
        <v>244</v>
      </c>
      <c r="K7" s="27"/>
    </row>
    <row r="8" spans="1:13" ht="16.149999999999999" customHeight="1" thickBot="1" x14ac:dyDescent="0.3">
      <c r="A8" s="1"/>
      <c r="B8" s="8" t="s">
        <v>272</v>
      </c>
      <c r="H8" s="45" t="s">
        <v>106</v>
      </c>
      <c r="J8" s="12" t="s">
        <v>245</v>
      </c>
    </row>
    <row r="9" spans="1:13" ht="16.149999999999999" customHeight="1" thickBot="1" x14ac:dyDescent="0.3">
      <c r="A9" s="1"/>
      <c r="B9" s="8" t="s">
        <v>273</v>
      </c>
      <c r="H9" s="45"/>
      <c r="I9" s="27" t="s">
        <v>105</v>
      </c>
      <c r="J9" s="12" t="s">
        <v>246</v>
      </c>
      <c r="K9"/>
      <c r="M9"/>
    </row>
    <row r="10" spans="1:13" ht="16.149999999999999" customHeight="1" thickBot="1" x14ac:dyDescent="0.3">
      <c r="A10" s="1"/>
      <c r="B10" s="8" t="s">
        <v>247</v>
      </c>
      <c r="H10" s="2" t="str">
        <f>IF(OR(AND(H8="Other",H9&lt;17,H7&gt;=70,H7&lt;=115),AND(H8="Other",H9&gt;=17,H7&gt;=75,H7&lt;=115)),"Yes","No")</f>
        <v>No</v>
      </c>
      <c r="I10" s="27"/>
      <c r="J10" s="12" t="s">
        <v>249</v>
      </c>
      <c r="K10"/>
      <c r="M10"/>
    </row>
    <row r="11" spans="1:13" ht="16.149999999999999" customHeight="1" thickBot="1" x14ac:dyDescent="0.3">
      <c r="A11" s="1"/>
      <c r="B11" s="8" t="s">
        <v>248</v>
      </c>
      <c r="H11" s="44" t="s">
        <v>380</v>
      </c>
      <c r="J11" s="71">
        <v>8.3000000000000007</v>
      </c>
      <c r="K11"/>
      <c r="M11"/>
    </row>
    <row r="12" spans="1:13" ht="16.149999999999999" customHeight="1" x14ac:dyDescent="0.25">
      <c r="A12" s="1"/>
      <c r="K12"/>
      <c r="L12"/>
      <c r="M12"/>
    </row>
    <row r="13" spans="1:13" ht="16.149999999999999" customHeight="1" x14ac:dyDescent="0.25">
      <c r="A13" s="1" t="s">
        <v>243</v>
      </c>
      <c r="K13"/>
      <c r="M13"/>
    </row>
    <row r="14" spans="1:13" ht="16.149999999999999" customHeight="1" thickBot="1" x14ac:dyDescent="0.3">
      <c r="A14" s="1"/>
      <c r="B14" s="1" t="s">
        <v>196</v>
      </c>
      <c r="K14"/>
      <c r="M14"/>
    </row>
    <row r="15" spans="1:13" ht="16.149999999999999" customHeight="1" thickBot="1" x14ac:dyDescent="0.3">
      <c r="A15" s="1"/>
      <c r="B15" s="8" t="s">
        <v>250</v>
      </c>
      <c r="H15" s="44" t="s">
        <v>4</v>
      </c>
      <c r="I15" s="27"/>
      <c r="J15" s="27" t="s">
        <v>251</v>
      </c>
      <c r="K15"/>
      <c r="M15"/>
    </row>
    <row r="16" spans="1:13" ht="16.149999999999999" customHeight="1" x14ac:dyDescent="0.25">
      <c r="A16" s="1"/>
      <c r="K16"/>
      <c r="M16"/>
    </row>
    <row r="17" spans="2:13" ht="16.149999999999999" customHeight="1" thickBot="1" x14ac:dyDescent="0.3">
      <c r="B17" s="1" t="s">
        <v>36</v>
      </c>
      <c r="K17"/>
      <c r="M17"/>
    </row>
    <row r="18" spans="2:13" ht="16.149999999999999" customHeight="1" thickBot="1" x14ac:dyDescent="0.3">
      <c r="B18" s="8" t="s">
        <v>257</v>
      </c>
      <c r="H18" s="45"/>
      <c r="I18" s="27" t="s">
        <v>27</v>
      </c>
      <c r="J18" s="71" t="s">
        <v>108</v>
      </c>
      <c r="K18"/>
      <c r="M18"/>
    </row>
    <row r="19" spans="2:13" ht="16.149999999999999" customHeight="1" thickBot="1" x14ac:dyDescent="0.3">
      <c r="B19" s="8" t="s">
        <v>56</v>
      </c>
      <c r="H19" s="45"/>
      <c r="I19" s="27" t="s">
        <v>52</v>
      </c>
      <c r="J19" s="71" t="s">
        <v>108</v>
      </c>
      <c r="K19"/>
      <c r="M19"/>
    </row>
    <row r="20" spans="2:13" ht="16.149999999999999" customHeight="1" thickBot="1" x14ac:dyDescent="0.3">
      <c r="B20" s="16" t="s">
        <v>57</v>
      </c>
      <c r="H20" s="52" t="s">
        <v>313</v>
      </c>
      <c r="J20" s="71" t="s">
        <v>266</v>
      </c>
      <c r="K20"/>
      <c r="M20"/>
    </row>
    <row r="21" spans="2:13" ht="16.149999999999999" customHeight="1" thickBot="1" x14ac:dyDescent="0.3">
      <c r="B21" s="8" t="s">
        <v>109</v>
      </c>
      <c r="H21" s="45"/>
      <c r="I21" s="27" t="s">
        <v>53</v>
      </c>
      <c r="J21" s="71" t="s">
        <v>269</v>
      </c>
      <c r="K21"/>
      <c r="M21"/>
    </row>
    <row r="22" spans="2:13" ht="16.149999999999999" customHeight="1" x14ac:dyDescent="0.25">
      <c r="H22" s="17"/>
      <c r="J22" s="423"/>
      <c r="K22"/>
      <c r="M22"/>
    </row>
    <row r="23" spans="2:13" ht="16.149999999999999" customHeight="1" thickBot="1" x14ac:dyDescent="0.3">
      <c r="B23" s="1" t="s">
        <v>12</v>
      </c>
      <c r="J23" s="423"/>
      <c r="K23"/>
      <c r="M23"/>
    </row>
    <row r="24" spans="2:13" ht="16.149999999999999" customHeight="1" thickBot="1" x14ac:dyDescent="0.3">
      <c r="B24" s="8" t="s">
        <v>69</v>
      </c>
      <c r="G24" s="31"/>
      <c r="H24" s="52"/>
      <c r="I24" s="27" t="s">
        <v>53</v>
      </c>
      <c r="J24" s="27" t="s">
        <v>107</v>
      </c>
      <c r="K24"/>
      <c r="M24"/>
    </row>
    <row r="25" spans="2:13" ht="16.149999999999999" customHeight="1" thickBot="1" x14ac:dyDescent="0.3">
      <c r="B25" s="8" t="s">
        <v>70</v>
      </c>
      <c r="G25" s="31"/>
      <c r="H25" s="52"/>
      <c r="I25" s="27" t="s">
        <v>53</v>
      </c>
      <c r="J25" s="27" t="s">
        <v>107</v>
      </c>
      <c r="K25"/>
      <c r="M25"/>
    </row>
    <row r="26" spans="2:13" ht="16.149999999999999" customHeight="1" thickBot="1" x14ac:dyDescent="0.3">
      <c r="B26" s="8" t="s">
        <v>178</v>
      </c>
      <c r="G26" s="31"/>
      <c r="H26" s="2" t="str">
        <f>IF(AND(H24&gt;=70,H24&lt;=80,H25&gt;=50),"Yes","No")</f>
        <v>No</v>
      </c>
      <c r="I26" s="27"/>
      <c r="J26" s="27" t="s">
        <v>252</v>
      </c>
      <c r="K26"/>
      <c r="M26"/>
    </row>
    <row r="27" spans="2:13" ht="16.149999999999999" customHeight="1" thickBot="1" x14ac:dyDescent="0.3">
      <c r="B27" s="8" t="s">
        <v>71</v>
      </c>
      <c r="G27" s="31"/>
      <c r="H27" s="52"/>
      <c r="I27" s="27" t="s">
        <v>53</v>
      </c>
      <c r="J27" s="27" t="s">
        <v>253</v>
      </c>
      <c r="K27"/>
      <c r="M27"/>
    </row>
    <row r="28" spans="2:13" ht="16.149999999999999" customHeight="1" thickBot="1" x14ac:dyDescent="0.3">
      <c r="B28" s="8" t="s">
        <v>256</v>
      </c>
      <c r="G28" s="31"/>
      <c r="H28" s="2" t="str">
        <f>IF(OR(AND(H9&lt;17,H27&gt;=70,H27&lt;=115),AND(H9&gt;=17,H27&gt;=75,H27&lt;=115)),"Yes","No")</f>
        <v>No</v>
      </c>
      <c r="I28" s="27"/>
      <c r="J28" s="27" t="s">
        <v>253</v>
      </c>
      <c r="K28"/>
      <c r="M28"/>
    </row>
    <row r="29" spans="2:13" ht="16.149999999999999" customHeight="1" thickBot="1" x14ac:dyDescent="0.3">
      <c r="B29" s="8" t="s">
        <v>72</v>
      </c>
      <c r="H29" s="52"/>
      <c r="I29" s="27" t="s">
        <v>53</v>
      </c>
      <c r="J29" s="27" t="s">
        <v>254</v>
      </c>
      <c r="K29"/>
      <c r="M29"/>
    </row>
    <row r="30" spans="2:13" ht="16.149999999999999" customHeight="1" thickBot="1" x14ac:dyDescent="0.3">
      <c r="B30" s="8" t="s">
        <v>73</v>
      </c>
      <c r="H30" s="52"/>
      <c r="I30" s="27" t="s">
        <v>53</v>
      </c>
      <c r="J30" s="27" t="s">
        <v>255</v>
      </c>
      <c r="K30"/>
      <c r="M30"/>
    </row>
    <row r="31" spans="2:13" ht="16.149999999999999" customHeight="1" thickBot="1" x14ac:dyDescent="0.3">
      <c r="B31" s="418" t="s">
        <v>270</v>
      </c>
      <c r="C31" s="418"/>
      <c r="D31" s="418"/>
      <c r="E31" s="418"/>
      <c r="F31" s="418"/>
      <c r="G31" s="418"/>
      <c r="H31" s="52"/>
      <c r="I31" s="27" t="s">
        <v>53</v>
      </c>
      <c r="J31" s="71" t="s">
        <v>267</v>
      </c>
      <c r="K31"/>
      <c r="M31"/>
    </row>
    <row r="32" spans="2:13" ht="16.149999999999999" customHeight="1" x14ac:dyDescent="0.25">
      <c r="B32" s="418"/>
      <c r="C32" s="418"/>
      <c r="D32" s="418"/>
      <c r="E32" s="418"/>
      <c r="F32" s="418"/>
      <c r="G32" s="418"/>
      <c r="H32" s="17"/>
      <c r="K32"/>
      <c r="M32"/>
    </row>
    <row r="33" spans="2:13" ht="16.149999999999999" customHeight="1" x14ac:dyDescent="0.25">
      <c r="B33" s="418"/>
      <c r="C33" s="418"/>
      <c r="D33" s="418"/>
      <c r="E33" s="418"/>
      <c r="F33" s="418"/>
      <c r="G33" s="418"/>
      <c r="J33" s="8"/>
      <c r="K33"/>
      <c r="M33"/>
    </row>
    <row r="34" spans="2:13" ht="16.149999999999999" customHeight="1" x14ac:dyDescent="0.25">
      <c r="H34" s="12"/>
      <c r="K34"/>
      <c r="M34"/>
    </row>
    <row r="35" spans="2:13" ht="16.149999999999999" customHeight="1" thickBot="1" x14ac:dyDescent="0.3">
      <c r="B35" s="1" t="s">
        <v>13</v>
      </c>
      <c r="H35" s="17"/>
      <c r="K35"/>
      <c r="M35"/>
    </row>
    <row r="36" spans="2:13" ht="16.149999999999999" customHeight="1" thickBot="1" x14ac:dyDescent="0.3">
      <c r="B36" s="8" t="s">
        <v>14</v>
      </c>
      <c r="H36" s="52" t="s">
        <v>41</v>
      </c>
      <c r="K36"/>
      <c r="M36"/>
    </row>
    <row r="37" spans="2:13" ht="16.149999999999999" customHeight="1" thickBot="1" x14ac:dyDescent="0.3">
      <c r="B37" s="8" t="s">
        <v>58</v>
      </c>
      <c r="H37" s="52"/>
      <c r="I37" s="27" t="s">
        <v>53</v>
      </c>
      <c r="J37" s="12" t="s">
        <v>112</v>
      </c>
      <c r="K37"/>
      <c r="M37"/>
    </row>
    <row r="38" spans="2:13" ht="16.149999999999999" customHeight="1" thickBot="1" x14ac:dyDescent="0.3">
      <c r="B38" s="8" t="s">
        <v>59</v>
      </c>
      <c r="H38" s="52"/>
      <c r="I38" s="27" t="s">
        <v>53</v>
      </c>
      <c r="J38" s="12" t="s">
        <v>112</v>
      </c>
      <c r="K38"/>
      <c r="M38"/>
    </row>
    <row r="39" spans="2:13" ht="16.149999999999999" customHeight="1" thickBot="1" x14ac:dyDescent="0.3">
      <c r="B39" s="41" t="s">
        <v>110</v>
      </c>
      <c r="C39" s="35"/>
      <c r="D39" s="35"/>
      <c r="E39" s="35"/>
      <c r="F39" s="35"/>
      <c r="G39" s="35"/>
      <c r="J39" s="71" t="s">
        <v>280</v>
      </c>
      <c r="K39"/>
      <c r="M39"/>
    </row>
    <row r="40" spans="2:13" ht="16.149999999999999" customHeight="1" thickBot="1" x14ac:dyDescent="0.3">
      <c r="B40" s="41" t="s">
        <v>79</v>
      </c>
      <c r="C40" s="35"/>
      <c r="D40" s="35"/>
      <c r="E40" s="35"/>
      <c r="F40" s="35"/>
      <c r="G40" s="35"/>
      <c r="H40" s="52"/>
      <c r="I40" s="27" t="s">
        <v>53</v>
      </c>
      <c r="J40" s="71" t="s">
        <v>280</v>
      </c>
      <c r="K40"/>
      <c r="M40"/>
    </row>
    <row r="41" spans="2:13" ht="16.149999999999999" customHeight="1" thickBot="1" x14ac:dyDescent="0.3">
      <c r="B41" s="41" t="s">
        <v>78</v>
      </c>
      <c r="C41" s="35"/>
      <c r="D41" s="35"/>
      <c r="E41" s="35"/>
      <c r="F41" s="35"/>
      <c r="G41" s="35"/>
      <c r="H41" s="52"/>
      <c r="I41" s="27" t="s">
        <v>53</v>
      </c>
      <c r="J41" s="71" t="s">
        <v>280</v>
      </c>
      <c r="K41"/>
      <c r="M41"/>
    </row>
    <row r="42" spans="2:13" ht="16.149999999999999" customHeight="1" x14ac:dyDescent="0.25">
      <c r="H42" s="12"/>
      <c r="K42"/>
      <c r="M42"/>
    </row>
    <row r="43" spans="2:13" ht="16.149999999999999" customHeight="1" thickBot="1" x14ac:dyDescent="0.3">
      <c r="B43" s="1" t="s">
        <v>15</v>
      </c>
      <c r="K43"/>
      <c r="M43"/>
    </row>
    <row r="44" spans="2:13" ht="16.149999999999999" customHeight="1" thickBot="1" x14ac:dyDescent="0.3">
      <c r="B44" s="8" t="s">
        <v>60</v>
      </c>
      <c r="H44" s="2" t="e">
        <f>(H18/H19)*12000</f>
        <v>#DIV/0!</v>
      </c>
      <c r="I44" s="27" t="s">
        <v>27</v>
      </c>
      <c r="J44" s="12" t="s">
        <v>108</v>
      </c>
      <c r="K44"/>
      <c r="M44"/>
    </row>
    <row r="45" spans="2:13" ht="16.149999999999999" customHeight="1" thickBot="1" x14ac:dyDescent="0.3">
      <c r="B45" s="8" t="s">
        <v>74</v>
      </c>
      <c r="G45" s="31"/>
      <c r="H45" s="42" t="e">
        <f>IF(H36="No",IF(H44&lt;375,40,IF(H44&lt;=425,35,30)),IF(ABS(IF(H44&lt;375,40,IF(H44&lt;=425,35,30))-(H37-H38))&lt;=3,H37-H38,IF(H44&lt;375,40,IF(H44&lt;=425,35,30))))</f>
        <v>#DIV/0!</v>
      </c>
      <c r="I45" s="27" t="s">
        <v>53</v>
      </c>
      <c r="J45" s="12" t="s">
        <v>113</v>
      </c>
      <c r="K45"/>
      <c r="M45"/>
    </row>
    <row r="46" spans="2:13" ht="16.149999999999999" customHeight="1" x14ac:dyDescent="0.25">
      <c r="K46"/>
      <c r="M46"/>
    </row>
    <row r="47" spans="2:13" ht="16.149999999999999" customHeight="1" thickBot="1" x14ac:dyDescent="0.3">
      <c r="B47" s="1" t="s">
        <v>111</v>
      </c>
      <c r="K47"/>
      <c r="M47"/>
    </row>
    <row r="48" spans="2:13" ht="16.149999999999999" customHeight="1" thickBot="1" x14ac:dyDescent="0.3">
      <c r="B48" s="8" t="s">
        <v>61</v>
      </c>
      <c r="H48" s="2">
        <f>H27+3</f>
        <v>3</v>
      </c>
      <c r="I48" s="27" t="s">
        <v>53</v>
      </c>
      <c r="J48" s="12" t="s">
        <v>268</v>
      </c>
      <c r="K48"/>
      <c r="M48"/>
    </row>
    <row r="49" spans="1:13" ht="16.149999999999999" customHeight="1" thickBot="1" x14ac:dyDescent="0.3">
      <c r="B49" s="8" t="s">
        <v>62</v>
      </c>
      <c r="H49" s="2">
        <f>H27+12</f>
        <v>12</v>
      </c>
      <c r="I49" s="27" t="s">
        <v>53</v>
      </c>
      <c r="J49" s="12" t="s">
        <v>115</v>
      </c>
      <c r="K49"/>
      <c r="M49"/>
    </row>
    <row r="50" spans="1:13" ht="16.149999999999999" customHeight="1" thickBot="1" x14ac:dyDescent="0.3">
      <c r="B50" s="8" t="s">
        <v>63</v>
      </c>
      <c r="G50" s="31"/>
      <c r="H50" s="2" t="str">
        <f>IF(OR(H30&lt;H48,H30&gt;H49),"No","Yes")</f>
        <v>No</v>
      </c>
      <c r="J50" s="12" t="s">
        <v>116</v>
      </c>
      <c r="K50"/>
      <c r="M50"/>
    </row>
    <row r="51" spans="1:13" ht="16.149999999999999" customHeight="1" thickBot="1" x14ac:dyDescent="0.3">
      <c r="B51" s="8" t="s">
        <v>64</v>
      </c>
      <c r="H51" s="42" t="str">
        <f>IFERROR(H24-H45+H31,"N/A")</f>
        <v>N/A</v>
      </c>
      <c r="I51" s="27" t="s">
        <v>53</v>
      </c>
      <c r="J51" s="12" t="s">
        <v>117</v>
      </c>
      <c r="K51"/>
      <c r="M51"/>
    </row>
    <row r="52" spans="1:13" ht="16.149999999999999" customHeight="1" thickBot="1" x14ac:dyDescent="0.3">
      <c r="B52" s="8" t="s">
        <v>75</v>
      </c>
      <c r="H52" s="42" t="str">
        <f>IFERROR(H51-H29,"N/A")</f>
        <v>N/A</v>
      </c>
      <c r="I52" s="27" t="s">
        <v>53</v>
      </c>
      <c r="J52" s="12" t="s">
        <v>118</v>
      </c>
      <c r="K52"/>
      <c r="M52"/>
    </row>
    <row r="53" spans="1:13" ht="16.149999999999999" customHeight="1" x14ac:dyDescent="0.25">
      <c r="K53"/>
      <c r="M53"/>
    </row>
    <row r="54" spans="1:13" ht="16.149999999999999" customHeight="1" thickBot="1" x14ac:dyDescent="0.3">
      <c r="B54" s="1" t="s">
        <v>114</v>
      </c>
      <c r="K54"/>
      <c r="M54"/>
    </row>
    <row r="55" spans="1:13" ht="16.149999999999999" customHeight="1" thickBot="1" x14ac:dyDescent="0.3">
      <c r="B55" s="8" t="s">
        <v>76</v>
      </c>
      <c r="G55" s="31"/>
      <c r="H55" s="2">
        <f>IF(H36="No",IF(H9&lt;=9,30,IF(H9&lt;=12,25,IF(H9&lt;=16,20,15))),IF(ABS(IF(H9&lt;=9,30,IF(H9&lt;=12,25,IF(H9&lt;=16,20,15)))-(H41-H40))&lt;=3,H41-H40,IF(H9&lt;=9,30,IF(H9&lt;=12,25,IF(H9&lt;=16,20,15)))))</f>
        <v>30</v>
      </c>
      <c r="I55" s="27" t="s">
        <v>53</v>
      </c>
      <c r="J55" s="27" t="s">
        <v>274</v>
      </c>
      <c r="K55"/>
      <c r="M55"/>
    </row>
    <row r="56" spans="1:13" ht="16.149999999999999" customHeight="1" thickBot="1" x14ac:dyDescent="0.3">
      <c r="B56" s="8" t="s">
        <v>65</v>
      </c>
      <c r="H56" s="42" t="e">
        <f>H24-H45+3</f>
        <v>#DIV/0!</v>
      </c>
      <c r="I56" s="27" t="s">
        <v>53</v>
      </c>
      <c r="J56" s="27" t="s">
        <v>275</v>
      </c>
      <c r="K56"/>
      <c r="M56"/>
    </row>
    <row r="57" spans="1:13" ht="16.149999999999999" customHeight="1" thickBot="1" x14ac:dyDescent="0.3">
      <c r="B57" s="8" t="s">
        <v>66</v>
      </c>
      <c r="H57" s="42" t="e">
        <f>H24-H45+26</f>
        <v>#DIV/0!</v>
      </c>
      <c r="I57" s="27" t="s">
        <v>53</v>
      </c>
      <c r="J57" s="27" t="s">
        <v>276</v>
      </c>
      <c r="K57"/>
      <c r="M57"/>
    </row>
    <row r="58" spans="1:13" ht="16.149999999999999" customHeight="1" thickBot="1" x14ac:dyDescent="0.3">
      <c r="B58" s="8" t="s">
        <v>67</v>
      </c>
      <c r="G58" s="31"/>
      <c r="H58" s="2" t="e">
        <f>IF(OR(H29&gt;65,H29&lt;H56,H29&gt;H57),"No","Yes")</f>
        <v>#DIV/0!</v>
      </c>
      <c r="J58" s="27" t="s">
        <v>277</v>
      </c>
      <c r="K58"/>
      <c r="M58"/>
    </row>
    <row r="59" spans="1:13" ht="16.149999999999999" customHeight="1" thickBot="1" x14ac:dyDescent="0.3">
      <c r="B59" s="8" t="s">
        <v>68</v>
      </c>
      <c r="H59" s="2">
        <f>H27+H55-H21</f>
        <v>30</v>
      </c>
      <c r="I59" s="27" t="s">
        <v>53</v>
      </c>
      <c r="J59" s="27" t="s">
        <v>278</v>
      </c>
      <c r="K59"/>
      <c r="M59"/>
    </row>
    <row r="60" spans="1:13" ht="16.149999999999999" customHeight="1" thickBot="1" x14ac:dyDescent="0.3">
      <c r="B60" s="8" t="s">
        <v>77</v>
      </c>
      <c r="H60" s="2">
        <f>H59-H30</f>
        <v>30</v>
      </c>
      <c r="I60" s="27" t="s">
        <v>53</v>
      </c>
      <c r="J60" s="27" t="s">
        <v>279</v>
      </c>
      <c r="K60"/>
      <c r="M60"/>
    </row>
    <row r="61" spans="1:13" x14ac:dyDescent="0.25">
      <c r="K61"/>
      <c r="M61"/>
    </row>
    <row r="62" spans="1:13" x14ac:dyDescent="0.25">
      <c r="A62" s="1" t="s">
        <v>319</v>
      </c>
      <c r="K62"/>
      <c r="M62"/>
    </row>
    <row r="63" spans="1:13" ht="15.75" thickBot="1" x14ac:dyDescent="0.3">
      <c r="A63" s="1"/>
      <c r="B63" s="1" t="s">
        <v>159</v>
      </c>
      <c r="K63"/>
      <c r="M63"/>
    </row>
    <row r="64" spans="1:13" ht="15.75" thickBot="1" x14ac:dyDescent="0.3">
      <c r="A64" s="1"/>
      <c r="B64" s="8" t="s">
        <v>158</v>
      </c>
      <c r="H64" s="53"/>
      <c r="I64" s="27" t="s">
        <v>148</v>
      </c>
      <c r="J64" s="27" t="s">
        <v>149</v>
      </c>
      <c r="K64"/>
      <c r="M64"/>
    </row>
    <row r="65" spans="1:19" ht="15.75" thickBot="1" x14ac:dyDescent="0.3">
      <c r="A65" s="1"/>
      <c r="B65" s="8" t="s">
        <v>156</v>
      </c>
      <c r="H65" s="52" t="s">
        <v>388</v>
      </c>
      <c r="I65" s="27"/>
      <c r="K65"/>
      <c r="M65"/>
    </row>
    <row r="66" spans="1:19" ht="15.75" thickBot="1" x14ac:dyDescent="0.3">
      <c r="A66" s="1"/>
      <c r="B66" s="8" t="s">
        <v>157</v>
      </c>
      <c r="H66" s="52" t="s">
        <v>41</v>
      </c>
      <c r="I66" s="27"/>
      <c r="K66"/>
      <c r="M66"/>
    </row>
    <row r="67" spans="1:19" ht="15.75" thickBot="1" x14ac:dyDescent="0.3">
      <c r="A67" s="1"/>
      <c r="B67" s="418" t="s">
        <v>281</v>
      </c>
      <c r="C67" s="418"/>
      <c r="D67" s="418"/>
      <c r="E67" s="418"/>
      <c r="F67" s="418"/>
      <c r="G67" s="417"/>
      <c r="H67" s="52" t="s">
        <v>4</v>
      </c>
      <c r="I67" s="27"/>
      <c r="J67" s="27" t="s">
        <v>283</v>
      </c>
      <c r="K67"/>
      <c r="M67"/>
    </row>
    <row r="68" spans="1:19" ht="15.75" thickBot="1" x14ac:dyDescent="0.3">
      <c r="A68" s="1"/>
      <c r="B68" s="418"/>
      <c r="C68" s="418"/>
      <c r="D68" s="418"/>
      <c r="E68" s="418"/>
      <c r="F68" s="418"/>
      <c r="G68" s="406"/>
      <c r="H68" s="72"/>
      <c r="I68" s="27"/>
      <c r="K68"/>
      <c r="M68"/>
    </row>
    <row r="69" spans="1:19" ht="15.75" thickBot="1" x14ac:dyDescent="0.3">
      <c r="B69" s="8" t="s">
        <v>286</v>
      </c>
      <c r="H69" s="52"/>
      <c r="I69" s="27" t="s">
        <v>143</v>
      </c>
      <c r="J69" s="27" t="s">
        <v>282</v>
      </c>
      <c r="K69"/>
      <c r="M69"/>
    </row>
    <row r="70" spans="1:19" ht="15.75" thickBot="1" x14ac:dyDescent="0.3">
      <c r="B70" s="8" t="s">
        <v>284</v>
      </c>
      <c r="H70" s="52" t="s">
        <v>171</v>
      </c>
      <c r="I70" s="27" t="s">
        <v>145</v>
      </c>
      <c r="J70" s="27" t="s">
        <v>285</v>
      </c>
      <c r="K70"/>
      <c r="M70"/>
      <c r="N70" s="73"/>
      <c r="O70" s="73"/>
      <c r="P70" s="73"/>
      <c r="Q70" s="73"/>
      <c r="R70" s="73"/>
      <c r="S70" s="73"/>
    </row>
    <row r="71" spans="1:19" ht="15.75" thickBot="1" x14ac:dyDescent="0.3">
      <c r="B71" s="8" t="s">
        <v>153</v>
      </c>
      <c r="H71" s="52"/>
      <c r="I71" s="27" t="s">
        <v>143</v>
      </c>
      <c r="J71" s="27" t="s">
        <v>150</v>
      </c>
      <c r="K71"/>
      <c r="M71"/>
      <c r="N71" s="73"/>
      <c r="O71" s="73"/>
      <c r="P71" s="73"/>
      <c r="Q71" s="73"/>
      <c r="R71" s="73"/>
      <c r="S71" s="73"/>
    </row>
    <row r="72" spans="1:19" ht="15.75" thickBot="1" x14ac:dyDescent="0.3">
      <c r="B72" s="8" t="s">
        <v>154</v>
      </c>
      <c r="H72" s="52"/>
      <c r="I72" s="27" t="s">
        <v>148</v>
      </c>
      <c r="J72" s="27" t="s">
        <v>151</v>
      </c>
      <c r="K72"/>
      <c r="M72"/>
      <c r="N72" s="73"/>
      <c r="O72" s="73"/>
      <c r="P72" s="73"/>
      <c r="Q72" s="73"/>
      <c r="R72" s="73"/>
      <c r="S72" s="73"/>
    </row>
    <row r="73" spans="1:19" ht="15.75" thickBot="1" x14ac:dyDescent="0.3">
      <c r="B73" s="8" t="s">
        <v>155</v>
      </c>
      <c r="H73" s="52"/>
      <c r="I73" s="27" t="s">
        <v>148</v>
      </c>
      <c r="J73" s="27" t="s">
        <v>152</v>
      </c>
      <c r="K73"/>
      <c r="M73"/>
      <c r="Q73" s="73"/>
      <c r="R73" s="73"/>
      <c r="S73" s="73"/>
    </row>
    <row r="74" spans="1:19" ht="15.75" thickBot="1" x14ac:dyDescent="0.3">
      <c r="B74" s="1" t="s">
        <v>12</v>
      </c>
      <c r="K74"/>
      <c r="M74"/>
      <c r="Q74" s="73"/>
      <c r="R74" s="73"/>
      <c r="S74" s="73"/>
    </row>
    <row r="75" spans="1:19" ht="15.75" thickBot="1" x14ac:dyDescent="0.3">
      <c r="B75" s="8" t="s">
        <v>287</v>
      </c>
      <c r="H75" s="52"/>
      <c r="I75" s="27" t="s">
        <v>143</v>
      </c>
      <c r="J75" s="27" t="s">
        <v>142</v>
      </c>
      <c r="K75"/>
      <c r="M75"/>
      <c r="Q75" s="73"/>
      <c r="R75" s="73"/>
      <c r="S75" s="73"/>
    </row>
    <row r="76" spans="1:19" ht="15.75" thickBot="1" x14ac:dyDescent="0.3">
      <c r="B76" s="8" t="s">
        <v>288</v>
      </c>
      <c r="H76" s="52" t="s">
        <v>171</v>
      </c>
      <c r="I76" s="27" t="s">
        <v>145</v>
      </c>
      <c r="J76" s="27" t="s">
        <v>147</v>
      </c>
      <c r="K76"/>
      <c r="M76"/>
      <c r="Q76" s="73"/>
      <c r="R76" s="73"/>
      <c r="S76" s="73"/>
    </row>
    <row r="77" spans="1:19" ht="15.75" thickBot="1" x14ac:dyDescent="0.3">
      <c r="B77" s="8" t="s">
        <v>146</v>
      </c>
      <c r="H77" s="2">
        <f>H75-H71</f>
        <v>0</v>
      </c>
      <c r="I77" s="27" t="s">
        <v>143</v>
      </c>
      <c r="J77" s="27" t="s">
        <v>144</v>
      </c>
      <c r="K77"/>
      <c r="M77"/>
      <c r="Q77" s="73"/>
      <c r="R77" s="73"/>
      <c r="S77" s="73"/>
    </row>
    <row r="78" spans="1:19" ht="15.75" thickBot="1" x14ac:dyDescent="0.3">
      <c r="B78" s="8" t="s">
        <v>160</v>
      </c>
      <c r="G78" s="31"/>
      <c r="H78" s="2">
        <f>VLOOKUP(H76,$B$103:$D$106,3,FALSE)</f>
        <v>0</v>
      </c>
      <c r="I78" s="27" t="s">
        <v>148</v>
      </c>
      <c r="J78" s="27" t="s">
        <v>161</v>
      </c>
      <c r="K78"/>
      <c r="M78"/>
      <c r="O78" s="73"/>
      <c r="P78" s="73"/>
      <c r="Q78" s="73"/>
      <c r="R78" s="73"/>
      <c r="S78" s="73"/>
    </row>
    <row r="79" spans="1:19" ht="15.75" thickBot="1" x14ac:dyDescent="0.3">
      <c r="B79" s="8" t="s">
        <v>162</v>
      </c>
      <c r="H79" s="42">
        <f>H78+H73+H72</f>
        <v>0</v>
      </c>
      <c r="I79" s="27" t="s">
        <v>148</v>
      </c>
      <c r="J79" s="27" t="s">
        <v>163</v>
      </c>
      <c r="K79"/>
      <c r="M79"/>
      <c r="O79" s="73"/>
      <c r="P79" s="73"/>
      <c r="Q79" s="73"/>
      <c r="R79" s="73"/>
      <c r="S79" s="73"/>
    </row>
    <row r="80" spans="1:19" ht="15.75" thickBot="1" x14ac:dyDescent="0.3">
      <c r="B80" s="8" t="s">
        <v>165</v>
      </c>
      <c r="H80" s="2">
        <f>IF(H66="Yes",H64,H64+H73+H72)</f>
        <v>0</v>
      </c>
      <c r="I80" s="27" t="s">
        <v>148</v>
      </c>
      <c r="J80" s="27" t="s">
        <v>164</v>
      </c>
      <c r="K80"/>
      <c r="M80"/>
      <c r="O80" s="73"/>
      <c r="P80" s="73"/>
      <c r="Q80" s="73"/>
      <c r="R80" s="73"/>
      <c r="S80" s="73"/>
    </row>
    <row r="81" spans="1:19" ht="15.75" thickBot="1" x14ac:dyDescent="0.3">
      <c r="B81" s="8" t="s">
        <v>167</v>
      </c>
      <c r="H81" s="55" t="str">
        <f>IFERROR((H80-H79)/H79,"N/A")</f>
        <v>N/A</v>
      </c>
      <c r="I81" s="27"/>
      <c r="J81" s="27" t="s">
        <v>166</v>
      </c>
      <c r="K81"/>
      <c r="M81"/>
      <c r="O81" s="73"/>
      <c r="P81" s="73"/>
      <c r="Q81" s="73"/>
      <c r="R81" s="73"/>
      <c r="S81" s="73"/>
    </row>
    <row r="82" spans="1:19" x14ac:dyDescent="0.25">
      <c r="K82"/>
      <c r="M82"/>
      <c r="O82" s="73"/>
      <c r="P82" s="73"/>
      <c r="Q82" s="73"/>
      <c r="R82" s="73"/>
      <c r="S82" s="73"/>
    </row>
    <row r="83" spans="1:19" ht="15.75" thickBot="1" x14ac:dyDescent="0.3">
      <c r="A83" s="1" t="s">
        <v>10</v>
      </c>
      <c r="K83"/>
      <c r="M83"/>
      <c r="N83" s="73"/>
      <c r="O83" s="73"/>
      <c r="P83" s="73"/>
      <c r="Q83" s="73"/>
      <c r="R83" s="73"/>
      <c r="S83" s="73"/>
    </row>
    <row r="84" spans="1:19" ht="15.75" thickBot="1" x14ac:dyDescent="0.3">
      <c r="B84" s="1" t="s">
        <v>290</v>
      </c>
      <c r="H84" s="2" t="str">
        <f>IF(H11="Non-Invasive",IF(H4="Yes",IF(H20="Piston/Cap. Tube",IF(H50="No","Grade III",IF(H52&gt;D87,"Grade I","Grade III")),"N/A"),"Prereq Not Met"),"N/A")</f>
        <v>N/A</v>
      </c>
      <c r="J84" s="27" t="s">
        <v>295</v>
      </c>
      <c r="K84"/>
      <c r="M84"/>
    </row>
    <row r="85" spans="1:19" ht="15.75" thickBot="1" x14ac:dyDescent="0.3">
      <c r="K85"/>
      <c r="M85"/>
    </row>
    <row r="86" spans="1:19" ht="15.75" thickBot="1" x14ac:dyDescent="0.3">
      <c r="B86" s="3" t="s">
        <v>0</v>
      </c>
      <c r="C86" s="4" t="s">
        <v>9</v>
      </c>
      <c r="D86" s="424" t="s">
        <v>21</v>
      </c>
      <c r="E86" s="425"/>
      <c r="F86" s="66"/>
      <c r="G86" s="66"/>
      <c r="K86"/>
      <c r="M86"/>
    </row>
    <row r="87" spans="1:19" x14ac:dyDescent="0.25">
      <c r="B87" s="9" t="s">
        <v>5</v>
      </c>
      <c r="C87" s="10" t="s">
        <v>83</v>
      </c>
      <c r="D87" s="426">
        <v>-8</v>
      </c>
      <c r="E87" s="427"/>
      <c r="F87" s="94"/>
      <c r="G87" s="12"/>
      <c r="K87"/>
      <c r="M87"/>
    </row>
    <row r="88" spans="1:19" ht="15.75" thickBot="1" x14ac:dyDescent="0.3">
      <c r="B88" s="13" t="s">
        <v>7</v>
      </c>
      <c r="C88" s="14" t="s">
        <v>85</v>
      </c>
      <c r="D88" s="428" t="s">
        <v>8</v>
      </c>
      <c r="E88" s="429"/>
      <c r="F88" s="12"/>
      <c r="G88" s="12"/>
      <c r="K88"/>
      <c r="M88"/>
    </row>
    <row r="89" spans="1:19" ht="15.75" thickBot="1" x14ac:dyDescent="0.3">
      <c r="B89" s="12"/>
      <c r="C89" s="19"/>
      <c r="D89" s="12"/>
      <c r="E89" s="12"/>
      <c r="F89" s="12"/>
      <c r="G89" s="12"/>
      <c r="K89"/>
      <c r="M89"/>
    </row>
    <row r="90" spans="1:19" ht="15.75" thickBot="1" x14ac:dyDescent="0.3">
      <c r="B90" s="1" t="s">
        <v>291</v>
      </c>
      <c r="H90" s="2" t="str">
        <f>IF(H11="Non-Invasive",IF(H4="Yes",IF(H20="TXV/EEV",IF(H58="No","Grade III",IF(H60&gt;D93,"Grade I","Grade III")),"N/A"),"Prereq Not Met"),"N/A")</f>
        <v>N/A</v>
      </c>
      <c r="J90" s="27" t="s">
        <v>296</v>
      </c>
      <c r="K90"/>
      <c r="M90"/>
    </row>
    <row r="91" spans="1:19" ht="15.75" thickBot="1" x14ac:dyDescent="0.3">
      <c r="K91"/>
      <c r="M91"/>
    </row>
    <row r="92" spans="1:19" ht="15.75" thickBot="1" x14ac:dyDescent="0.3">
      <c r="B92" s="3" t="s">
        <v>0</v>
      </c>
      <c r="C92" s="4" t="s">
        <v>9</v>
      </c>
      <c r="D92" s="424" t="s">
        <v>21</v>
      </c>
      <c r="E92" s="425"/>
      <c r="F92" s="66"/>
      <c r="G92" s="66"/>
      <c r="K92"/>
      <c r="M92"/>
    </row>
    <row r="93" spans="1:19" x14ac:dyDescent="0.25">
      <c r="B93" s="9" t="s">
        <v>5</v>
      </c>
      <c r="C93" s="10" t="s">
        <v>84</v>
      </c>
      <c r="D93" s="426">
        <v>-6</v>
      </c>
      <c r="E93" s="427"/>
      <c r="F93" s="94"/>
      <c r="G93" s="12"/>
      <c r="K93"/>
      <c r="M93"/>
    </row>
    <row r="94" spans="1:19" ht="15.75" thickBot="1" x14ac:dyDescent="0.3">
      <c r="B94" s="13" t="s">
        <v>7</v>
      </c>
      <c r="C94" s="14" t="s">
        <v>86</v>
      </c>
      <c r="D94" s="428" t="s">
        <v>8</v>
      </c>
      <c r="E94" s="429"/>
      <c r="F94" s="12"/>
      <c r="G94" s="12"/>
      <c r="K94"/>
      <c r="M94"/>
    </row>
    <row r="95" spans="1:19" x14ac:dyDescent="0.25">
      <c r="K95"/>
      <c r="M95"/>
    </row>
    <row r="96" spans="1:19" ht="15.75" thickBot="1" x14ac:dyDescent="0.3">
      <c r="B96" s="1" t="s">
        <v>292</v>
      </c>
      <c r="K96"/>
      <c r="M96"/>
    </row>
    <row r="97" spans="2:13" ht="15.75" thickBot="1" x14ac:dyDescent="0.3">
      <c r="B97" s="8" t="s">
        <v>289</v>
      </c>
      <c r="H97" s="52" t="s">
        <v>4</v>
      </c>
      <c r="J97" s="27" t="s">
        <v>168</v>
      </c>
      <c r="K97"/>
      <c r="M97"/>
    </row>
    <row r="98" spans="2:13" ht="15.75" thickBot="1" x14ac:dyDescent="0.3">
      <c r="B98" s="8" t="s">
        <v>169</v>
      </c>
      <c r="K98"/>
      <c r="M98"/>
    </row>
    <row r="99" spans="2:13" ht="15.75" thickBot="1" x14ac:dyDescent="0.3">
      <c r="B99" s="23" t="s">
        <v>170</v>
      </c>
      <c r="H99" s="2" t="e">
        <f>IF(H11="Weigh-In",IF(AND(H67="Yes",H97="Yes",ABS(H81)&lt;=0.05),"Grade I","Grade III"),"N/A")</f>
        <v>#VALUE!</v>
      </c>
      <c r="J99" s="27" t="s">
        <v>293</v>
      </c>
      <c r="K99"/>
      <c r="M99"/>
    </row>
    <row r="101" spans="2:13" x14ac:dyDescent="0.25">
      <c r="B101" s="1" t="s">
        <v>294</v>
      </c>
    </row>
    <row r="102" spans="2:13" x14ac:dyDescent="0.25">
      <c r="B102" s="74" t="s">
        <v>175</v>
      </c>
      <c r="C102" s="75" t="s">
        <v>176</v>
      </c>
      <c r="D102" s="76" t="s">
        <v>177</v>
      </c>
    </row>
    <row r="103" spans="2:13" x14ac:dyDescent="0.25">
      <c r="B103" s="77" t="s">
        <v>172</v>
      </c>
      <c r="C103" s="78">
        <v>0.3</v>
      </c>
      <c r="D103" s="79">
        <f>C103*$H$77</f>
        <v>0</v>
      </c>
    </row>
    <row r="104" spans="2:13" x14ac:dyDescent="0.25">
      <c r="B104" s="80" t="s">
        <v>173</v>
      </c>
      <c r="C104" s="81">
        <v>0.4</v>
      </c>
      <c r="D104" s="82">
        <f t="shared" ref="D104:D106" si="0">C104*$H$77</f>
        <v>0</v>
      </c>
    </row>
    <row r="105" spans="2:13" x14ac:dyDescent="0.25">
      <c r="B105" s="80" t="s">
        <v>171</v>
      </c>
      <c r="C105" s="81">
        <v>0.6</v>
      </c>
      <c r="D105" s="82">
        <f t="shared" si="0"/>
        <v>0</v>
      </c>
    </row>
    <row r="106" spans="2:13" x14ac:dyDescent="0.25">
      <c r="B106" s="83" t="s">
        <v>174</v>
      </c>
      <c r="C106" s="84">
        <v>1.2</v>
      </c>
      <c r="D106" s="85">
        <f t="shared" si="0"/>
        <v>0</v>
      </c>
    </row>
  </sheetData>
  <sheetProtection sheet="1" selectLockedCells="1"/>
  <mergeCells count="10">
    <mergeCell ref="D87:E87"/>
    <mergeCell ref="D88:E88"/>
    <mergeCell ref="D92:E92"/>
    <mergeCell ref="D93:E93"/>
    <mergeCell ref="D94:E94"/>
    <mergeCell ref="J1:J2"/>
    <mergeCell ref="J22:J23"/>
    <mergeCell ref="B31:G33"/>
    <mergeCell ref="B67:G68"/>
    <mergeCell ref="D86:E86"/>
  </mergeCells>
  <conditionalFormatting sqref="H24">
    <cfRule type="cellIs" dxfId="14" priority="25" operator="lessThan">
      <formula>70</formula>
    </cfRule>
    <cfRule type="cellIs" dxfId="13" priority="26" operator="greaterThan">
      <formula>80</formula>
    </cfRule>
  </conditionalFormatting>
  <conditionalFormatting sqref="H25">
    <cfRule type="cellIs" dxfId="12" priority="24" operator="lessThan">
      <formula>50</formula>
    </cfRule>
  </conditionalFormatting>
  <conditionalFormatting sqref="H27">
    <cfRule type="expression" dxfId="11" priority="22">
      <formula>OR(AND(#REF!&lt;17,$H$27&lt;70),AND(#REF!&gt;=17,$H$27&lt;75))</formula>
    </cfRule>
    <cfRule type="cellIs" dxfId="10" priority="23" operator="greaterThan">
      <formula>115</formula>
    </cfRule>
  </conditionalFormatting>
  <conditionalFormatting sqref="H58">
    <cfRule type="cellIs" dxfId="9" priority="20" operator="equal">
      <formula>"No"</formula>
    </cfRule>
  </conditionalFormatting>
  <conditionalFormatting sqref="H4">
    <cfRule type="cellIs" dxfId="8" priority="17" operator="equal">
      <formula>"No"</formula>
    </cfRule>
  </conditionalFormatting>
  <conditionalFormatting sqref="H50">
    <cfRule type="cellIs" dxfId="7" priority="15" operator="equal">
      <formula>"No"</formula>
    </cfRule>
  </conditionalFormatting>
  <conditionalFormatting sqref="H11">
    <cfRule type="expression" dxfId="6" priority="6">
      <formula>AND($H$11="Non-Invasive",$H$10="No")</formula>
    </cfRule>
  </conditionalFormatting>
  <conditionalFormatting sqref="H26">
    <cfRule type="cellIs" dxfId="5" priority="8" operator="equal">
      <formula>"No"</formula>
    </cfRule>
  </conditionalFormatting>
  <conditionalFormatting sqref="H10">
    <cfRule type="cellIs" dxfId="4" priority="7" operator="equal">
      <formula>"No"</formula>
    </cfRule>
  </conditionalFormatting>
  <conditionalFormatting sqref="H15">
    <cfRule type="cellIs" dxfId="3" priority="5" operator="equal">
      <formula>"No"</formula>
    </cfRule>
  </conditionalFormatting>
  <conditionalFormatting sqref="H15">
    <cfRule type="cellIs" dxfId="2" priority="4" operator="equal">
      <formula>"No"</formula>
    </cfRule>
  </conditionalFormatting>
  <conditionalFormatting sqref="H28">
    <cfRule type="cellIs" dxfId="1" priority="2" operator="equal">
      <formula>"No"</formula>
    </cfRule>
  </conditionalFormatting>
  <conditionalFormatting sqref="H67">
    <cfRule type="cellIs" dxfId="0" priority="1" operator="equal">
      <formula>"No"</formula>
    </cfRule>
  </conditionalFormatting>
  <dataValidations count="6">
    <dataValidation type="list" allowBlank="1" showInputMessage="1" showErrorMessage="1" sqref="H36 H15 H97 H66:H67" xr:uid="{00000000-0002-0000-0400-000000000000}">
      <formula1>"Yes,No"</formula1>
    </dataValidation>
    <dataValidation type="list" allowBlank="1" showInputMessage="1" showErrorMessage="1" sqref="H8" xr:uid="{00000000-0002-0000-0400-000002000000}">
      <formula1>"Mini-Split AC, Mini-Split HP, Multi-Split AC, Multi-Split HP,Other"</formula1>
    </dataValidation>
    <dataValidation type="list" allowBlank="1" showInputMessage="1" showErrorMessage="1" sqref="H65" xr:uid="{00000000-0002-0000-0400-000003000000}">
      <formula1>"Added,Removed"</formula1>
    </dataValidation>
    <dataValidation type="list" allowBlank="1" showInputMessage="1" showErrorMessage="1" sqref="H76 H70" xr:uid="{00000000-0002-0000-0400-000004000000}">
      <formula1>"1/4"",5/16"",3/8"",1/2"""</formula1>
    </dataValidation>
    <dataValidation type="list" allowBlank="1" showInputMessage="1" showErrorMessage="1" sqref="H11" xr:uid="{92C50309-7B6E-49DD-9E2C-BCE579D641A0}">
      <formula1>"Non-Invasive,Weigh-In"</formula1>
    </dataValidation>
    <dataValidation type="list" allowBlank="1" showInputMessage="1" showErrorMessage="1" sqref="H20" xr:uid="{998B2086-A113-4AD5-A803-2A1C530452DA}">
      <formula1>"Piston/Cap. Tube, TXV/EEV"</formula1>
    </dataValidation>
  </dataValidations>
  <pageMargins left="0.4" right="0.4" top="0.4" bottom="0.4" header="0.3" footer="0.3"/>
  <pageSetup scale="60" orientation="portrait" horizontalDpi="1200" verticalDpi="1200" r:id="rId1"/>
  <headerFooter>
    <oddFooter>&amp;C&amp;A&amp;Rv1.3</oddFooter>
  </headerFooter>
  <rowBreaks count="2" manualBreakCount="2">
    <brk id="42" max="8" man="1"/>
    <brk id="82"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A45B-7543-45DD-B44E-12AA63E037F4}">
  <sheetPr codeName="Sheet9">
    <tabColor theme="0"/>
  </sheetPr>
  <dimension ref="A1:AB492"/>
  <sheetViews>
    <sheetView zoomScale="70" zoomScaleNormal="70" zoomScaleSheetLayoutView="130" workbookViewId="0">
      <selection activeCell="B1" sqref="B1"/>
    </sheetView>
  </sheetViews>
  <sheetFormatPr defaultColWidth="9.28515625" defaultRowHeight="15" x14ac:dyDescent="0.25"/>
  <cols>
    <col min="1" max="1" width="4" style="191" customWidth="1"/>
    <col min="2" max="2" width="24.28515625" style="191" bestFit="1" customWidth="1"/>
    <col min="3" max="3" width="154.42578125" style="197" customWidth="1"/>
    <col min="4" max="4" width="27.7109375" style="141" bestFit="1" customWidth="1"/>
    <col min="5" max="5" width="18.7109375" style="192" bestFit="1" customWidth="1"/>
    <col min="6" max="6" width="24.7109375" style="192" bestFit="1" customWidth="1"/>
    <col min="7" max="7" width="9.28515625" style="193"/>
    <col min="8" max="8" width="9.85546875" style="191" customWidth="1"/>
    <col min="9" max="9" width="27.42578125" style="191" bestFit="1" customWidth="1"/>
    <col min="10" max="10" width="28.7109375" style="191" bestFit="1" customWidth="1"/>
    <col min="11" max="11" width="21.7109375" style="191" customWidth="1"/>
    <col min="12" max="20" width="9.28515625" style="191"/>
    <col min="21" max="21" width="8.85546875" style="191" customWidth="1"/>
    <col min="22" max="16384" width="9.28515625" style="191"/>
  </cols>
  <sheetData>
    <row r="1" spans="1:24" x14ac:dyDescent="0.25">
      <c r="A1" s="39" t="s">
        <v>484</v>
      </c>
    </row>
    <row r="2" spans="1:24" x14ac:dyDescent="0.25">
      <c r="B2" s="194" t="s">
        <v>314</v>
      </c>
      <c r="C2" s="198" t="s">
        <v>315</v>
      </c>
      <c r="D2" s="140" t="s">
        <v>316</v>
      </c>
      <c r="E2" s="195" t="s">
        <v>318</v>
      </c>
      <c r="F2" s="195" t="s">
        <v>317</v>
      </c>
      <c r="H2"/>
      <c r="I2"/>
      <c r="J2"/>
      <c r="K2"/>
      <c r="L2"/>
      <c r="M2"/>
      <c r="N2"/>
      <c r="O2"/>
      <c r="P2"/>
      <c r="Q2"/>
      <c r="R2"/>
      <c r="S2"/>
      <c r="T2"/>
      <c r="U2"/>
      <c r="V2"/>
      <c r="W2"/>
      <c r="X2"/>
    </row>
    <row r="3" spans="1:24" x14ac:dyDescent="0.25">
      <c r="B3" s="199" t="str">
        <f t="shared" ref="B3:B66" ca="1" si="0">MID(CELL("filename",INDIRECT(RIGHT(_xlfn.FORMULATEXT(D3),LEN(_xlfn.FORMULATEXT(D3))-1),TRUE)),FIND("]",CELL("filename",INDIRECT(RIGHT(_xlfn.FORMULATEXT(D3),LEN(_xlfn.FORMULATEXT(D3))-1),TRUE)))+1,255)</f>
        <v>1. HVAC Design Review</v>
      </c>
      <c r="C3" s="199" t="str">
        <f>'1. HVAC Design Review'!A12&amp;'1. HVAC Design Review'!N12</f>
        <v>For A Dwelling or Townhouse, or Dwelling / Sleeping Unit Within (e.g. Duplex)Complete this section?</v>
      </c>
      <c r="D3" s="97" t="str">
        <f>'1. HVAC Design Review'!P12</f>
        <v>Yes</v>
      </c>
      <c r="E3" s="141"/>
      <c r="F3" s="141"/>
      <c r="H3"/>
      <c r="I3"/>
      <c r="J3"/>
      <c r="K3"/>
      <c r="L3"/>
      <c r="M3"/>
      <c r="N3"/>
      <c r="O3"/>
      <c r="P3"/>
      <c r="Q3"/>
      <c r="R3"/>
      <c r="S3"/>
      <c r="T3"/>
      <c r="U3"/>
      <c r="V3"/>
      <c r="W3"/>
      <c r="X3"/>
    </row>
    <row r="4" spans="1:24" x14ac:dyDescent="0.25">
      <c r="B4" s="199" t="str">
        <f t="shared" ca="1" si="0"/>
        <v>1. HVAC Design Review</v>
      </c>
      <c r="C4" s="199" t="str">
        <f>'1. HVAC Design Review'!A12&amp;'1. HVAC Design Review'!O13</f>
        <v xml:space="preserve">For A Dwelling or Townhouse, or Dwelling / Sleeping Unit Within (e.g. Duplex)Required data inputs provided? </v>
      </c>
      <c r="D4" s="97" t="str">
        <f>'1. HVAC Design Review'!P13</f>
        <v>No</v>
      </c>
      <c r="E4" s="141"/>
      <c r="F4" s="141"/>
      <c r="H4"/>
      <c r="I4"/>
      <c r="J4"/>
      <c r="K4"/>
      <c r="L4"/>
      <c r="M4"/>
      <c r="N4"/>
      <c r="O4"/>
      <c r="P4"/>
      <c r="Q4"/>
      <c r="R4"/>
      <c r="S4"/>
      <c r="T4"/>
      <c r="U4"/>
      <c r="V4"/>
      <c r="W4"/>
      <c r="X4"/>
    </row>
    <row r="5" spans="1:24" x14ac:dyDescent="0.25">
      <c r="B5" s="199" t="str">
        <f t="shared" ca="1" si="0"/>
        <v>1. HVAC Design Review</v>
      </c>
      <c r="C5" s="366" t="str">
        <f>'1. HVAC Design Review'!$B$16&amp;"_Plan"</f>
        <v>Does the name of the plan or address for the Home match the HVAC design?_Plan</v>
      </c>
      <c r="D5" s="96" t="str">
        <f>'1. HVAC Design Review'!K16</f>
        <v>Yes</v>
      </c>
      <c r="E5" s="141"/>
      <c r="F5" s="141" t="str">
        <f>'1. HVAC Design Review'!$S$16</f>
        <v>4.3.1.1</v>
      </c>
      <c r="H5"/>
      <c r="I5"/>
      <c r="J5"/>
      <c r="K5"/>
      <c r="L5"/>
      <c r="M5"/>
      <c r="N5"/>
      <c r="O5"/>
      <c r="P5"/>
      <c r="Q5"/>
      <c r="R5"/>
      <c r="S5"/>
      <c r="T5"/>
      <c r="U5"/>
      <c r="V5"/>
      <c r="W5"/>
      <c r="X5"/>
    </row>
    <row r="6" spans="1:24" x14ac:dyDescent="0.25">
      <c r="B6" s="199" t="str">
        <f t="shared" ca="1" si="0"/>
        <v>1. HVAC Design Review</v>
      </c>
      <c r="C6" s="366" t="str">
        <f>'1. HVAC Design Review'!$B$17&amp;"_Plan"</f>
        <v>Do the options used in the Home match those in the HVAC design, 
or are they listed in the options the HVAC design can be used with?_Plan</v>
      </c>
      <c r="D6" s="96" t="str">
        <f>'1. HVAC Design Review'!K17</f>
        <v>Yes</v>
      </c>
      <c r="E6" s="141"/>
      <c r="F6" s="141" t="str">
        <f>'1. HVAC Design Review'!$S$17</f>
        <v>4.3.1.2</v>
      </c>
      <c r="H6"/>
      <c r="I6"/>
      <c r="J6"/>
      <c r="K6"/>
      <c r="L6"/>
      <c r="M6"/>
      <c r="N6"/>
      <c r="O6"/>
      <c r="P6"/>
      <c r="Q6"/>
      <c r="R6"/>
      <c r="S6"/>
      <c r="T6"/>
      <c r="U6"/>
      <c r="V6"/>
      <c r="W6"/>
      <c r="X6"/>
    </row>
    <row r="7" spans="1:24" x14ac:dyDescent="0.25">
      <c r="B7" s="199" t="str">
        <f t="shared" ca="1" si="0"/>
        <v>1. HVAC Design Review</v>
      </c>
      <c r="C7" s="366" t="str">
        <f>'1. HVAC Design Review'!$B$20&amp;'1. HVAC Design Review'!$B$21&amp;"Zone 1"&amp;"_Plan"</f>
        <v>Conditioned Floor Area of Heating / Cooling ZonesHVAC DesignZone 1_Plan</v>
      </c>
      <c r="D7" s="97">
        <f>'1. HVAC Design Review'!I21</f>
        <v>0</v>
      </c>
      <c r="E7" s="141" t="str">
        <f>'1. HVAC Design Review'!$R$21</f>
        <v xml:space="preserve">Sq. Ft. </v>
      </c>
      <c r="F7" s="141" t="str">
        <f>'1. HVAC Design Review'!$S$20</f>
        <v>4.3.1.3</v>
      </c>
      <c r="H7"/>
      <c r="I7"/>
      <c r="J7"/>
      <c r="K7"/>
      <c r="L7"/>
      <c r="M7"/>
      <c r="N7"/>
      <c r="O7"/>
      <c r="P7"/>
      <c r="Q7"/>
      <c r="R7"/>
      <c r="S7"/>
      <c r="T7"/>
      <c r="U7"/>
      <c r="V7"/>
      <c r="W7"/>
      <c r="X7"/>
    </row>
    <row r="8" spans="1:24" x14ac:dyDescent="0.25">
      <c r="B8" s="199" t="str">
        <f t="shared" ca="1" si="0"/>
        <v>1. HVAC Design Review</v>
      </c>
      <c r="C8" s="366" t="str">
        <f>'1. HVAC Design Review'!$B$20&amp;'1. HVAC Design Review'!$B$22&amp;"Zone 1"&amp;"_Plan"</f>
        <v>Conditioned Floor Area of Heating / Cooling ZonesHomeZone 1_Plan</v>
      </c>
      <c r="D8" s="97">
        <f>'1. HVAC Design Review'!I22</f>
        <v>0</v>
      </c>
      <c r="E8" s="141" t="str">
        <f>'1. HVAC Design Review'!$R$22</f>
        <v xml:space="preserve">Sq. Ft. </v>
      </c>
      <c r="F8" s="141" t="str">
        <f>'1. HVAC Design Review'!$S$20</f>
        <v>4.3.1.3</v>
      </c>
      <c r="H8"/>
      <c r="I8"/>
      <c r="J8"/>
      <c r="K8"/>
      <c r="L8"/>
      <c r="M8"/>
      <c r="N8"/>
      <c r="O8"/>
      <c r="P8"/>
      <c r="Q8"/>
      <c r="R8"/>
      <c r="S8"/>
      <c r="T8"/>
      <c r="U8"/>
      <c r="V8"/>
      <c r="W8"/>
      <c r="X8"/>
    </row>
    <row r="9" spans="1:24" x14ac:dyDescent="0.25">
      <c r="B9" s="199" t="str">
        <f t="shared" ca="1" si="0"/>
        <v>1. HVAC Design Review</v>
      </c>
      <c r="C9" s="366" t="str">
        <f>'1. HVAC Design Review'!$B$20&amp;'1. HVAC Design Review'!$B$23&amp;"Zone 1"&amp;"_Plan"</f>
        <v>Conditioned Floor Area of Heating / Cooling ZonesHome is between 300 sq. ft. smaller &amp; 100 sq. ft.  larger than HVAC design?Zone 1_Plan</v>
      </c>
      <c r="D9" s="141" t="str">
        <f>'1. HVAC Design Review'!I23</f>
        <v>Yes</v>
      </c>
      <c r="E9" s="141"/>
      <c r="F9" s="141" t="str">
        <f>'1. HVAC Design Review'!$S$20</f>
        <v>4.3.1.3</v>
      </c>
      <c r="H9"/>
      <c r="I9"/>
      <c r="J9"/>
      <c r="K9"/>
      <c r="L9"/>
      <c r="M9"/>
      <c r="N9"/>
      <c r="O9"/>
      <c r="P9"/>
      <c r="Q9"/>
      <c r="R9"/>
      <c r="S9"/>
      <c r="T9"/>
      <c r="U9"/>
      <c r="V9"/>
      <c r="W9"/>
      <c r="X9"/>
    </row>
    <row r="10" spans="1:24" x14ac:dyDescent="0.25">
      <c r="B10" s="199" t="str">
        <f t="shared" ca="1" si="0"/>
        <v>1. HVAC Design Review</v>
      </c>
      <c r="C10" s="366" t="str">
        <f>'1. HVAC Design Review'!$B$20&amp;'1. HVAC Design Review'!$B$21&amp;"Zone 2"&amp;"_Plan"</f>
        <v>Conditioned Floor Area of Heating / Cooling ZonesHVAC DesignZone 2_Plan</v>
      </c>
      <c r="D10" s="97">
        <f>'1. HVAC Design Review'!J21</f>
        <v>0</v>
      </c>
      <c r="E10" s="141" t="str">
        <f>'1. HVAC Design Review'!$R$21</f>
        <v xml:space="preserve">Sq. Ft. </v>
      </c>
      <c r="F10" s="141" t="str">
        <f>'1. HVAC Design Review'!$S$20</f>
        <v>4.3.1.3</v>
      </c>
      <c r="H10"/>
      <c r="I10"/>
      <c r="J10"/>
      <c r="K10"/>
      <c r="L10"/>
      <c r="M10"/>
      <c r="N10"/>
      <c r="O10"/>
      <c r="P10"/>
      <c r="Q10"/>
      <c r="R10"/>
      <c r="S10"/>
      <c r="T10"/>
      <c r="U10"/>
      <c r="V10"/>
      <c r="W10"/>
      <c r="X10"/>
    </row>
    <row r="11" spans="1:24" x14ac:dyDescent="0.25">
      <c r="B11" s="199" t="str">
        <f t="shared" ca="1" si="0"/>
        <v>1. HVAC Design Review</v>
      </c>
      <c r="C11" s="366" t="str">
        <f>'1. HVAC Design Review'!$B$20&amp;'1. HVAC Design Review'!$B$22&amp;"Zone 2"&amp;"_Plan"</f>
        <v>Conditioned Floor Area of Heating / Cooling ZonesHomeZone 2_Plan</v>
      </c>
      <c r="D11" s="97">
        <f>'1. HVAC Design Review'!J22</f>
        <v>0</v>
      </c>
      <c r="E11" s="141" t="str">
        <f>'1. HVAC Design Review'!$R$22</f>
        <v xml:space="preserve">Sq. Ft. </v>
      </c>
      <c r="F11" s="141" t="str">
        <f>'1. HVAC Design Review'!$S$20</f>
        <v>4.3.1.3</v>
      </c>
      <c r="H11"/>
      <c r="I11"/>
      <c r="J11"/>
      <c r="K11"/>
      <c r="L11"/>
      <c r="M11"/>
      <c r="N11"/>
      <c r="O11"/>
      <c r="P11"/>
      <c r="Q11"/>
      <c r="R11"/>
      <c r="S11"/>
      <c r="T11"/>
      <c r="U11"/>
      <c r="V11"/>
      <c r="W11"/>
      <c r="X11"/>
    </row>
    <row r="12" spans="1:24" x14ac:dyDescent="0.25">
      <c r="B12" s="199" t="str">
        <f t="shared" ca="1" si="0"/>
        <v>1. HVAC Design Review</v>
      </c>
      <c r="C12" s="366" t="str">
        <f>'1. HVAC Design Review'!$B$20&amp;'1. HVAC Design Review'!$B$23&amp;"Zone 2"&amp;"_Plan"</f>
        <v>Conditioned Floor Area of Heating / Cooling ZonesHome is between 300 sq. ft. smaller &amp; 100 sq. ft.  larger than HVAC design?Zone 2_Plan</v>
      </c>
      <c r="D12" s="141" t="str">
        <f>'1. HVAC Design Review'!J23</f>
        <v>Yes</v>
      </c>
      <c r="E12" s="362"/>
      <c r="F12" s="141" t="str">
        <f>'1. HVAC Design Review'!$S$20</f>
        <v>4.3.1.3</v>
      </c>
      <c r="H12"/>
      <c r="I12"/>
      <c r="J12"/>
      <c r="K12"/>
      <c r="L12"/>
      <c r="M12"/>
      <c r="N12"/>
      <c r="O12"/>
      <c r="P12"/>
      <c r="Q12"/>
      <c r="R12"/>
      <c r="S12"/>
      <c r="T12"/>
      <c r="U12"/>
      <c r="V12"/>
      <c r="W12"/>
      <c r="X12"/>
    </row>
    <row r="13" spans="1:24" x14ac:dyDescent="0.25">
      <c r="B13" s="199" t="str">
        <f t="shared" ca="1" si="0"/>
        <v>1. HVAC Design Review</v>
      </c>
      <c r="C13" s="366" t="str">
        <f>'1. HVAC Design Review'!$B$20&amp;'1. HVAC Design Review'!$B$21&amp;"Zone 3"&amp;"_Plan"</f>
        <v>Conditioned Floor Area of Heating / Cooling ZonesHVAC DesignZone 3_Plan</v>
      </c>
      <c r="D13" s="97">
        <f>'1. HVAC Design Review'!K21</f>
        <v>0</v>
      </c>
      <c r="E13" s="141" t="str">
        <f>'1. HVAC Design Review'!$R$21</f>
        <v xml:space="preserve">Sq. Ft. </v>
      </c>
      <c r="F13" s="141" t="str">
        <f>'1. HVAC Design Review'!$S$20</f>
        <v>4.3.1.3</v>
      </c>
      <c r="H13"/>
      <c r="I13"/>
      <c r="J13"/>
      <c r="K13"/>
      <c r="L13"/>
      <c r="M13"/>
      <c r="N13"/>
      <c r="O13"/>
      <c r="P13"/>
      <c r="Q13"/>
      <c r="R13"/>
      <c r="S13"/>
      <c r="T13"/>
      <c r="U13"/>
      <c r="V13"/>
      <c r="W13"/>
      <c r="X13"/>
    </row>
    <row r="14" spans="1:24" x14ac:dyDescent="0.25">
      <c r="B14" s="199" t="str">
        <f t="shared" ca="1" si="0"/>
        <v>1. HVAC Design Review</v>
      </c>
      <c r="C14" s="366" t="str">
        <f>'1. HVAC Design Review'!$B$20&amp;'1. HVAC Design Review'!$B$22&amp;"Zone 3"&amp;"_Plan"</f>
        <v>Conditioned Floor Area of Heating / Cooling ZonesHomeZone 3_Plan</v>
      </c>
      <c r="D14" s="97">
        <f>'1. HVAC Design Review'!K22</f>
        <v>0</v>
      </c>
      <c r="E14" s="141" t="str">
        <f>'1. HVAC Design Review'!$R$22</f>
        <v xml:space="preserve">Sq. Ft. </v>
      </c>
      <c r="F14" s="141" t="str">
        <f>'1. HVAC Design Review'!$S$20</f>
        <v>4.3.1.3</v>
      </c>
      <c r="H14"/>
      <c r="I14"/>
      <c r="J14"/>
      <c r="K14"/>
      <c r="L14"/>
      <c r="M14"/>
      <c r="N14"/>
      <c r="O14"/>
      <c r="P14"/>
      <c r="Q14"/>
      <c r="R14"/>
      <c r="S14"/>
      <c r="T14"/>
      <c r="U14"/>
      <c r="V14"/>
      <c r="W14"/>
      <c r="X14"/>
    </row>
    <row r="15" spans="1:24" x14ac:dyDescent="0.25">
      <c r="B15" s="199" t="str">
        <f t="shared" ca="1" si="0"/>
        <v>1. HVAC Design Review</v>
      </c>
      <c r="C15" s="366" t="str">
        <f>'1. HVAC Design Review'!$B$20&amp;'1. HVAC Design Review'!$B$23&amp;"Zone 3"&amp;"_Plan"</f>
        <v>Conditioned Floor Area of Heating / Cooling ZonesHome is between 300 sq. ft. smaller &amp; 100 sq. ft.  larger than HVAC design?Zone 3_Plan</v>
      </c>
      <c r="D15" s="141" t="str">
        <f>'1. HVAC Design Review'!K23</f>
        <v>Yes</v>
      </c>
      <c r="E15" s="362"/>
      <c r="F15" s="141" t="str">
        <f>'1. HVAC Design Review'!$S$20</f>
        <v>4.3.1.3</v>
      </c>
      <c r="H15"/>
      <c r="I15"/>
      <c r="J15"/>
      <c r="K15"/>
      <c r="L15"/>
      <c r="M15"/>
      <c r="N15"/>
      <c r="O15"/>
      <c r="P15"/>
      <c r="Q15"/>
      <c r="R15"/>
      <c r="S15"/>
      <c r="T15"/>
      <c r="U15"/>
      <c r="V15"/>
      <c r="W15"/>
      <c r="X15"/>
    </row>
    <row r="16" spans="1:24" x14ac:dyDescent="0.25">
      <c r="B16" s="199" t="str">
        <f t="shared" ca="1" si="0"/>
        <v>1. HVAC Design Review</v>
      </c>
      <c r="C16" s="366" t="str">
        <f>'1. HVAC Design Review'!$B$25&amp;'1. HVAC Design Review'!$B$26&amp;"Zone 1"&amp;"_Plan"</f>
        <v>Window Area of Heating / Cooling ZonesHVAC DesignZone 1_Plan</v>
      </c>
      <c r="D16" s="97">
        <f>'1. HVAC Design Review'!I26</f>
        <v>0</v>
      </c>
      <c r="E16" s="141" t="str">
        <f>'1. HVAC Design Review'!$R$26</f>
        <v xml:space="preserve">Sq. Ft. </v>
      </c>
      <c r="F16" s="141" t="str">
        <f>'1. HVAC Design Review'!$S$25</f>
        <v>4.3.1.4</v>
      </c>
      <c r="H16"/>
      <c r="I16"/>
      <c r="J16"/>
      <c r="K16"/>
      <c r="L16"/>
      <c r="M16"/>
      <c r="N16"/>
      <c r="O16"/>
      <c r="P16"/>
      <c r="Q16"/>
      <c r="R16"/>
      <c r="S16"/>
      <c r="T16"/>
      <c r="U16"/>
      <c r="V16"/>
      <c r="W16"/>
      <c r="X16"/>
    </row>
    <row r="17" spans="2:24" x14ac:dyDescent="0.25">
      <c r="B17" s="199" t="str">
        <f t="shared" ca="1" si="0"/>
        <v>1. HVAC Design Review</v>
      </c>
      <c r="C17" s="366" t="str">
        <f>'1. HVAC Design Review'!$B$25&amp;'1. HVAC Design Review'!$B$22&amp;"Zone 1"&amp;"_Plan"</f>
        <v>Window Area of Heating / Cooling ZonesHomeZone 1_Plan</v>
      </c>
      <c r="D17" s="97">
        <f>'1. HVAC Design Review'!I27</f>
        <v>0</v>
      </c>
      <c r="E17" s="141" t="str">
        <f>'1. HVAC Design Review'!$R$27</f>
        <v xml:space="preserve">Sq. Ft. </v>
      </c>
      <c r="F17" s="141" t="str">
        <f>'1. HVAC Design Review'!$S$25</f>
        <v>4.3.1.4</v>
      </c>
      <c r="H17"/>
      <c r="I17"/>
      <c r="J17"/>
      <c r="K17"/>
      <c r="L17"/>
      <c r="M17"/>
      <c r="N17"/>
      <c r="O17"/>
      <c r="P17"/>
      <c r="Q17"/>
      <c r="R17"/>
      <c r="S17"/>
      <c r="T17"/>
      <c r="U17"/>
      <c r="V17"/>
      <c r="W17"/>
      <c r="X17"/>
    </row>
    <row r="18" spans="2:24" x14ac:dyDescent="0.25">
      <c r="B18" s="199" t="str">
        <f t="shared" ca="1" si="0"/>
        <v>1. HVAC Design Review</v>
      </c>
      <c r="C18" s="366" t="str">
        <f>'1. HVAC Design Review'!$B$25&amp;'1. HVAC Design Review'!$B$23&amp;"Zone 1"&amp;"_Plan"</f>
        <v>Window Area of Heating / Cooling ZonesHome is between 300 sq. ft. smaller &amp; 100 sq. ft.  larger than HVAC design?Zone 1_Plan</v>
      </c>
      <c r="D18" s="141" t="str">
        <f>'1. HVAC Design Review'!I28</f>
        <v>Yes</v>
      </c>
      <c r="E18" s="362"/>
      <c r="F18" s="141" t="str">
        <f>'1. HVAC Design Review'!$S$25</f>
        <v>4.3.1.4</v>
      </c>
      <c r="H18"/>
      <c r="I18"/>
      <c r="J18"/>
      <c r="K18"/>
      <c r="L18"/>
      <c r="M18"/>
      <c r="N18"/>
      <c r="O18"/>
      <c r="P18"/>
      <c r="Q18"/>
      <c r="R18"/>
      <c r="S18"/>
      <c r="T18"/>
      <c r="U18"/>
      <c r="V18"/>
      <c r="W18"/>
      <c r="X18"/>
    </row>
    <row r="19" spans="2:24" x14ac:dyDescent="0.25">
      <c r="B19" s="199" t="str">
        <f t="shared" ca="1" si="0"/>
        <v>1. HVAC Design Review</v>
      </c>
      <c r="C19" s="366" t="str">
        <f>'1. HVAC Design Review'!$B$25&amp;'1. HVAC Design Review'!$B$26&amp;"Zone 2"&amp;"_Plan"</f>
        <v>Window Area of Heating / Cooling ZonesHVAC DesignZone 2_Plan</v>
      </c>
      <c r="D19" s="97">
        <f>'1. HVAC Design Review'!J26</f>
        <v>0</v>
      </c>
      <c r="E19" s="141" t="str">
        <f>'1. HVAC Design Review'!$R$26</f>
        <v xml:space="preserve">Sq. Ft. </v>
      </c>
      <c r="F19" s="141" t="str">
        <f>'1. HVAC Design Review'!$S$25</f>
        <v>4.3.1.4</v>
      </c>
      <c r="H19"/>
      <c r="I19"/>
      <c r="J19"/>
      <c r="K19"/>
      <c r="L19"/>
      <c r="M19"/>
      <c r="N19"/>
      <c r="O19"/>
      <c r="P19"/>
      <c r="Q19"/>
      <c r="R19"/>
      <c r="S19"/>
      <c r="T19"/>
      <c r="U19"/>
      <c r="V19"/>
      <c r="W19"/>
      <c r="X19"/>
    </row>
    <row r="20" spans="2:24" x14ac:dyDescent="0.25">
      <c r="B20" s="199" t="str">
        <f t="shared" ca="1" si="0"/>
        <v>1. HVAC Design Review</v>
      </c>
      <c r="C20" s="366" t="str">
        <f>'1. HVAC Design Review'!$B$25&amp;'1. HVAC Design Review'!$B$22&amp;"Zone 2"&amp;"_Plan"</f>
        <v>Window Area of Heating / Cooling ZonesHomeZone 2_Plan</v>
      </c>
      <c r="D20" s="97">
        <f>'1. HVAC Design Review'!J27</f>
        <v>0</v>
      </c>
      <c r="E20" s="141" t="str">
        <f>'1. HVAC Design Review'!$R$27</f>
        <v xml:space="preserve">Sq. Ft. </v>
      </c>
      <c r="F20" s="141" t="str">
        <f>'1. HVAC Design Review'!$S$25</f>
        <v>4.3.1.4</v>
      </c>
      <c r="H20"/>
      <c r="I20"/>
      <c r="J20"/>
      <c r="K20"/>
      <c r="L20"/>
      <c r="M20"/>
      <c r="N20"/>
      <c r="O20"/>
      <c r="P20"/>
      <c r="Q20"/>
      <c r="R20"/>
      <c r="S20"/>
      <c r="T20"/>
      <c r="U20"/>
      <c r="V20"/>
      <c r="W20"/>
      <c r="X20"/>
    </row>
    <row r="21" spans="2:24" x14ac:dyDescent="0.25">
      <c r="B21" s="199" t="str">
        <f t="shared" ca="1" si="0"/>
        <v>1. HVAC Design Review</v>
      </c>
      <c r="C21" s="366" t="str">
        <f>'1. HVAC Design Review'!$B$25&amp;'1. HVAC Design Review'!$B$23&amp;"Zone 2"&amp;"_Plan"</f>
        <v>Window Area of Heating / Cooling ZonesHome is between 300 sq. ft. smaller &amp; 100 sq. ft.  larger than HVAC design?Zone 2_Plan</v>
      </c>
      <c r="D21" s="141" t="str">
        <f>'1. HVAC Design Review'!J28</f>
        <v>Yes</v>
      </c>
      <c r="E21" s="141"/>
      <c r="F21" s="141" t="str">
        <f>'1. HVAC Design Review'!$S$25</f>
        <v>4.3.1.4</v>
      </c>
      <c r="H21"/>
      <c r="I21"/>
      <c r="J21"/>
      <c r="K21"/>
      <c r="L21"/>
      <c r="M21"/>
      <c r="N21"/>
      <c r="O21"/>
      <c r="P21"/>
      <c r="Q21"/>
      <c r="R21"/>
      <c r="S21"/>
      <c r="T21"/>
      <c r="U21"/>
      <c r="V21"/>
      <c r="W21"/>
      <c r="X21"/>
    </row>
    <row r="22" spans="2:24" x14ac:dyDescent="0.25">
      <c r="B22" s="199" t="str">
        <f t="shared" ca="1" si="0"/>
        <v>1. HVAC Design Review</v>
      </c>
      <c r="C22" s="366" t="str">
        <f>'1. HVAC Design Review'!$B$25&amp;'1. HVAC Design Review'!$B$26&amp;"Zone 3"&amp;"_Plan"</f>
        <v>Window Area of Heating / Cooling ZonesHVAC DesignZone 3_Plan</v>
      </c>
      <c r="D22" s="97">
        <f>'1. HVAC Design Review'!K26</f>
        <v>0</v>
      </c>
      <c r="E22" s="141" t="str">
        <f>'1. HVAC Design Review'!$R$26</f>
        <v xml:space="preserve">Sq. Ft. </v>
      </c>
      <c r="F22" s="141" t="str">
        <f>'1. HVAC Design Review'!$S$25</f>
        <v>4.3.1.4</v>
      </c>
      <c r="H22"/>
      <c r="I22"/>
      <c r="J22"/>
      <c r="K22"/>
      <c r="L22"/>
      <c r="M22"/>
      <c r="N22"/>
      <c r="O22"/>
      <c r="P22"/>
      <c r="Q22"/>
      <c r="R22"/>
      <c r="S22"/>
      <c r="T22"/>
      <c r="U22"/>
      <c r="V22"/>
      <c r="W22"/>
      <c r="X22"/>
    </row>
    <row r="23" spans="2:24" x14ac:dyDescent="0.25">
      <c r="B23" s="199" t="str">
        <f t="shared" ca="1" si="0"/>
        <v>1. HVAC Design Review</v>
      </c>
      <c r="C23" s="366" t="str">
        <f>'1. HVAC Design Review'!$B$25&amp;'1. HVAC Design Review'!$B$22&amp;"Zone 3"&amp;"_Plan"</f>
        <v>Window Area of Heating / Cooling ZonesHomeZone 3_Plan</v>
      </c>
      <c r="D23" s="97">
        <f>'1. HVAC Design Review'!K27</f>
        <v>0</v>
      </c>
      <c r="E23" s="141" t="str">
        <f>'1. HVAC Design Review'!$R$27</f>
        <v xml:space="preserve">Sq. Ft. </v>
      </c>
      <c r="F23" s="141" t="str">
        <f>'1. HVAC Design Review'!$S$25</f>
        <v>4.3.1.4</v>
      </c>
      <c r="H23"/>
      <c r="I23"/>
      <c r="J23"/>
      <c r="K23"/>
      <c r="L23"/>
      <c r="M23"/>
      <c r="N23"/>
      <c r="O23"/>
      <c r="P23"/>
      <c r="Q23"/>
      <c r="R23"/>
      <c r="S23"/>
      <c r="T23"/>
      <c r="U23"/>
      <c r="V23"/>
      <c r="W23"/>
      <c r="X23"/>
    </row>
    <row r="24" spans="2:24" x14ac:dyDescent="0.25">
      <c r="B24" s="199" t="str">
        <f t="shared" ca="1" si="0"/>
        <v>1. HVAC Design Review</v>
      </c>
      <c r="C24" s="366" t="str">
        <f>'1. HVAC Design Review'!$B$25&amp;'1. HVAC Design Review'!$B$23&amp;"Zone 3"&amp;"_Plan"</f>
        <v>Window Area of Heating / Cooling ZonesHome is between 300 sq. ft. smaller &amp; 100 sq. ft.  larger than HVAC design?Zone 3_Plan</v>
      </c>
      <c r="D24" s="141" t="str">
        <f>'1. HVAC Design Review'!K28</f>
        <v>Yes</v>
      </c>
      <c r="E24" s="141"/>
      <c r="F24" s="141" t="str">
        <f>'1. HVAC Design Review'!$S$25</f>
        <v>4.3.1.4</v>
      </c>
      <c r="H24"/>
      <c r="I24"/>
      <c r="J24"/>
      <c r="K24"/>
      <c r="L24"/>
      <c r="M24"/>
      <c r="N24"/>
      <c r="O24"/>
      <c r="P24"/>
      <c r="Q24"/>
      <c r="R24"/>
      <c r="S24"/>
      <c r="T24"/>
      <c r="U24"/>
      <c r="V24"/>
      <c r="W24"/>
      <c r="X24"/>
    </row>
    <row r="25" spans="2:24" x14ac:dyDescent="0.25">
      <c r="B25" s="199" t="str">
        <f t="shared" ca="1" si="0"/>
        <v>1. HVAC Design Review</v>
      </c>
      <c r="C25" s="200" t="str">
        <f>'1. HVAC Design Review'!$B$31&amp;'1. HVAC Design Review'!$B$32&amp;"Zone 1"&amp;"_Plan"</f>
        <v>Heating / Cooling Loads Methodology and OrientationsIn HVAC Design, is the max. minus min. total heat gain across orientations ≤ 6 kBtuh?Zone 1_Plan</v>
      </c>
      <c r="D25" s="96" t="str">
        <f>'1. HVAC Design Review'!I32</f>
        <v>N/A</v>
      </c>
      <c r="E25" s="141"/>
      <c r="F25" s="141" t="str">
        <f>'1. HVAC Design Review'!$S$32</f>
        <v>4.3.1.6</v>
      </c>
      <c r="H25"/>
      <c r="I25"/>
      <c r="J25"/>
      <c r="K25"/>
      <c r="L25"/>
      <c r="M25"/>
      <c r="N25"/>
      <c r="O25"/>
      <c r="P25"/>
      <c r="Q25"/>
      <c r="R25"/>
      <c r="S25"/>
      <c r="T25"/>
      <c r="U25"/>
      <c r="V25"/>
      <c r="W25"/>
      <c r="X25"/>
    </row>
    <row r="26" spans="2:24" x14ac:dyDescent="0.25">
      <c r="B26" s="199" t="str">
        <f t="shared" ca="1" si="0"/>
        <v>1. HVAC Design Review</v>
      </c>
      <c r="C26" s="200" t="str">
        <f>'1. HVAC Design Review'!$B$31&amp;'1. HVAC Design Review'!$B$32&amp;"Zone 2"&amp;"_Plan"</f>
        <v>Heating / Cooling Loads Methodology and OrientationsIn HVAC Design, is the max. minus min. total heat gain across orientations ≤ 6 kBtuh?Zone 2_Plan</v>
      </c>
      <c r="D26" s="96" t="str">
        <f>'1. HVAC Design Review'!J32</f>
        <v>N/A</v>
      </c>
      <c r="E26" s="141"/>
      <c r="F26" s="141" t="str">
        <f>'1. HVAC Design Review'!$S$32</f>
        <v>4.3.1.6</v>
      </c>
      <c r="H26"/>
      <c r="I26"/>
      <c r="J26"/>
      <c r="K26"/>
      <c r="L26"/>
      <c r="M26"/>
      <c r="N26"/>
      <c r="O26"/>
      <c r="P26"/>
      <c r="Q26"/>
      <c r="R26"/>
      <c r="S26"/>
      <c r="T26"/>
      <c r="U26"/>
      <c r="V26"/>
      <c r="W26"/>
      <c r="X26"/>
    </row>
    <row r="27" spans="2:24" x14ac:dyDescent="0.25">
      <c r="B27" s="199" t="str">
        <f t="shared" ca="1" si="0"/>
        <v>1. HVAC Design Review</v>
      </c>
      <c r="C27" s="200" t="str">
        <f>'1. HVAC Design Review'!$B$31&amp;'1. HVAC Design Review'!$B$32&amp;"Zone 3"&amp;"_Plan"</f>
        <v>Heating / Cooling Loads Methodology and OrientationsIn HVAC Design, is the max. minus min. total heat gain across orientations ≤ 6 kBtuh?Zone 3_Plan</v>
      </c>
      <c r="D27" s="96" t="str">
        <f>'1. HVAC Design Review'!K32</f>
        <v>N/A</v>
      </c>
      <c r="E27" s="141"/>
      <c r="F27" s="141" t="str">
        <f>'1. HVAC Design Review'!$S$32</f>
        <v>4.3.1.6</v>
      </c>
    </row>
    <row r="28" spans="2:24" x14ac:dyDescent="0.25">
      <c r="B28" s="199" t="str">
        <f t="shared" ca="1" si="0"/>
        <v>1. HVAC Design Review</v>
      </c>
      <c r="C28" s="361" t="str">
        <f>'1. HVAC Design Review'!$B$34</f>
        <v>Does front orientation of the Home match one of the orientations in the HVAC design?</v>
      </c>
      <c r="D28" s="96" t="str">
        <f>'1. HVAC Design Review'!K34</f>
        <v>Yes</v>
      </c>
      <c r="E28" s="141"/>
      <c r="F28" s="141" t="str">
        <f>'1. HVAC Design Review'!$S$34</f>
        <v>4.3.1.5</v>
      </c>
    </row>
    <row r="29" spans="2:24" x14ac:dyDescent="0.25">
      <c r="B29" s="199" t="str">
        <f t="shared" ca="1" si="0"/>
        <v>1. HVAC Design Review</v>
      </c>
      <c r="C29" s="200" t="str">
        <f>'1. HVAC Design Review'!$B$35</f>
        <v>In HVAC Design, have heating and cooling loads have been calculated room-by-room?</v>
      </c>
      <c r="D29" s="96" t="str">
        <f>'1. HVAC Design Review'!K35</f>
        <v>Yes</v>
      </c>
      <c r="E29" s="141"/>
      <c r="F29" s="141" t="str">
        <f>'1. HVAC Design Review'!$S$35</f>
        <v>4.3.1.7</v>
      </c>
    </row>
    <row r="30" spans="2:24" x14ac:dyDescent="0.25">
      <c r="B30" s="199" t="str">
        <f t="shared" ca="1" si="0"/>
        <v>1. HVAC Design Review</v>
      </c>
      <c r="C30" s="366" t="str">
        <f>'1. HVAC Design Review'!$B$16&amp;"_Field"</f>
        <v>Does the name of the plan or address for the Home match the HVAC design?_Field</v>
      </c>
      <c r="D30" s="96" t="str">
        <f>'1. HVAC Design Review'!P16</f>
        <v>Yes</v>
      </c>
      <c r="E30" s="141"/>
      <c r="F30" s="141" t="str">
        <f>'1. HVAC Design Review'!$S$16</f>
        <v>4.3.1.1</v>
      </c>
    </row>
    <row r="31" spans="2:24" x14ac:dyDescent="0.25">
      <c r="B31" s="199" t="str">
        <f t="shared" ca="1" si="0"/>
        <v>1. HVAC Design Review</v>
      </c>
      <c r="C31" s="366" t="str">
        <f>'1. HVAC Design Review'!$B$17&amp;"_Field"</f>
        <v>Do the options used in the Home match those in the HVAC design, 
or are they listed in the options the HVAC design can be used with?_Field</v>
      </c>
      <c r="D31" s="96" t="str">
        <f>'1. HVAC Design Review'!P17</f>
        <v>Yes</v>
      </c>
      <c r="E31" s="141"/>
      <c r="F31" s="141" t="str">
        <f>'1. HVAC Design Review'!$S$17</f>
        <v>4.3.1.2</v>
      </c>
    </row>
    <row r="32" spans="2:24" x14ac:dyDescent="0.25">
      <c r="B32" s="199" t="str">
        <f t="shared" ca="1" si="0"/>
        <v>1. HVAC Design Review</v>
      </c>
      <c r="C32" s="366" t="str">
        <f>'1. HVAC Design Review'!$B$20&amp;'1. HVAC Design Review'!$B$21&amp;"Zone 1"&amp;"_Field"</f>
        <v>Conditioned Floor Area of Heating / Cooling ZonesHVAC DesignZone 1_Field</v>
      </c>
      <c r="D32" s="97">
        <f>'1. HVAC Design Review'!N21</f>
        <v>0</v>
      </c>
      <c r="E32" s="141" t="str">
        <f>'1. HVAC Design Review'!$R$21</f>
        <v xml:space="preserve">Sq. Ft. </v>
      </c>
      <c r="F32" s="141" t="str">
        <f>'1. HVAC Design Review'!$S$20</f>
        <v>4.3.1.3</v>
      </c>
    </row>
    <row r="33" spans="1:28" x14ac:dyDescent="0.25">
      <c r="B33" s="199" t="str">
        <f t="shared" ca="1" si="0"/>
        <v>1. HVAC Design Review</v>
      </c>
      <c r="C33" s="366" t="str">
        <f>'1. HVAC Design Review'!$B$20&amp;'1. HVAC Design Review'!$B$22&amp;"Zone 1"&amp;"_Field"</f>
        <v>Conditioned Floor Area of Heating / Cooling ZonesHomeZone 1_Field</v>
      </c>
      <c r="D33" s="97">
        <f>'1. HVAC Design Review'!N22</f>
        <v>0</v>
      </c>
      <c r="E33" s="141" t="str">
        <f>'1. HVAC Design Review'!$R$22</f>
        <v xml:space="preserve">Sq. Ft. </v>
      </c>
      <c r="F33" s="141" t="str">
        <f>'1. HVAC Design Review'!$S$20</f>
        <v>4.3.1.3</v>
      </c>
    </row>
    <row r="34" spans="1:28" x14ac:dyDescent="0.25">
      <c r="B34" s="199" t="str">
        <f t="shared" ca="1" si="0"/>
        <v>1. HVAC Design Review</v>
      </c>
      <c r="C34" s="366" t="str">
        <f>'1. HVAC Design Review'!$B$20&amp;'1. HVAC Design Review'!$B$23&amp;"Zone 1"&amp;"_Field"</f>
        <v>Conditioned Floor Area of Heating / Cooling ZonesHome is between 300 sq. ft. smaller &amp; 100 sq. ft.  larger than HVAC design?Zone 1_Field</v>
      </c>
      <c r="D34" s="141" t="str">
        <f>'1. HVAC Design Review'!N23</f>
        <v>Yes</v>
      </c>
      <c r="E34" s="141"/>
      <c r="F34" s="141" t="str">
        <f>'1. HVAC Design Review'!$S$20</f>
        <v>4.3.1.3</v>
      </c>
    </row>
    <row r="35" spans="1:28" x14ac:dyDescent="0.25">
      <c r="B35" s="199" t="str">
        <f t="shared" ca="1" si="0"/>
        <v>1. HVAC Design Review</v>
      </c>
      <c r="C35" s="366" t="str">
        <f>'1. HVAC Design Review'!$B$20&amp;'1. HVAC Design Review'!$B$21&amp;"Zone 2"&amp;"_Field"</f>
        <v>Conditioned Floor Area of Heating / Cooling ZonesHVAC DesignZone 2_Field</v>
      </c>
      <c r="D35" s="97">
        <f>'1. HVAC Design Review'!O21</f>
        <v>0</v>
      </c>
      <c r="E35" s="141" t="str">
        <f>'1. HVAC Design Review'!$R$21</f>
        <v xml:space="preserve">Sq. Ft. </v>
      </c>
      <c r="F35" s="141" t="str">
        <f>'1. HVAC Design Review'!$S$20</f>
        <v>4.3.1.3</v>
      </c>
    </row>
    <row r="36" spans="1:28" x14ac:dyDescent="0.25">
      <c r="B36" s="199" t="str">
        <f t="shared" ca="1" si="0"/>
        <v>1. HVAC Design Review</v>
      </c>
      <c r="C36" s="366" t="str">
        <f>'1. HVAC Design Review'!$B$20&amp;'1. HVAC Design Review'!$B$22&amp;"Zone 2"&amp;"_Field"</f>
        <v>Conditioned Floor Area of Heating / Cooling ZonesHomeZone 2_Field</v>
      </c>
      <c r="D36" s="97">
        <f>'1. HVAC Design Review'!O22</f>
        <v>0</v>
      </c>
      <c r="E36" s="141" t="str">
        <f>'1. HVAC Design Review'!$R$22</f>
        <v xml:space="preserve">Sq. Ft. </v>
      </c>
      <c r="F36" s="141" t="str">
        <f>'1. HVAC Design Review'!$S$20</f>
        <v>4.3.1.3</v>
      </c>
    </row>
    <row r="37" spans="1:28" x14ac:dyDescent="0.25">
      <c r="B37" s="199" t="str">
        <f t="shared" ca="1" si="0"/>
        <v>1. HVAC Design Review</v>
      </c>
      <c r="C37" s="366" t="str">
        <f>'1. HVAC Design Review'!$B$20&amp;'1. HVAC Design Review'!$B$23&amp;"Zone 2"&amp;"_Field"</f>
        <v>Conditioned Floor Area of Heating / Cooling ZonesHome is between 300 sq. ft. smaller &amp; 100 sq. ft.  larger than HVAC design?Zone 2_Field</v>
      </c>
      <c r="D37" s="141" t="str">
        <f>'1. HVAC Design Review'!O23</f>
        <v>Yes</v>
      </c>
      <c r="E37" s="362"/>
      <c r="F37" s="141" t="str">
        <f>'1. HVAC Design Review'!$S$20</f>
        <v>4.3.1.3</v>
      </c>
    </row>
    <row r="38" spans="1:28" x14ac:dyDescent="0.25">
      <c r="B38" s="199" t="str">
        <f t="shared" ca="1" si="0"/>
        <v>1. HVAC Design Review</v>
      </c>
      <c r="C38" s="366" t="str">
        <f>'1. HVAC Design Review'!$B$20&amp;'1. HVAC Design Review'!$B$21&amp;"Zone 3"&amp;"_Field"</f>
        <v>Conditioned Floor Area of Heating / Cooling ZonesHVAC DesignZone 3_Field</v>
      </c>
      <c r="D38" s="97">
        <f>'1. HVAC Design Review'!P21</f>
        <v>0</v>
      </c>
      <c r="E38" s="141" t="str">
        <f>'1. HVAC Design Review'!$R$21</f>
        <v xml:space="preserve">Sq. Ft. </v>
      </c>
      <c r="F38" s="141" t="str">
        <f>'1. HVAC Design Review'!$S$20</f>
        <v>4.3.1.3</v>
      </c>
    </row>
    <row r="39" spans="1:28" x14ac:dyDescent="0.25">
      <c r="B39" s="199" t="str">
        <f t="shared" ca="1" si="0"/>
        <v>1. HVAC Design Review</v>
      </c>
      <c r="C39" s="366" t="str">
        <f>'1. HVAC Design Review'!$B$20&amp;'1. HVAC Design Review'!$B$22&amp;"Zone 3"&amp;"_Field"</f>
        <v>Conditioned Floor Area of Heating / Cooling ZonesHomeZone 3_Field</v>
      </c>
      <c r="D39" s="97">
        <f>'1. HVAC Design Review'!P22</f>
        <v>0</v>
      </c>
      <c r="E39" s="141" t="str">
        <f>'1. HVAC Design Review'!$R$22</f>
        <v xml:space="preserve">Sq. Ft. </v>
      </c>
      <c r="F39" s="141" t="str">
        <f>'1. HVAC Design Review'!$S$20</f>
        <v>4.3.1.3</v>
      </c>
    </row>
    <row r="40" spans="1:28" x14ac:dyDescent="0.25">
      <c r="B40" s="199" t="str">
        <f t="shared" ca="1" si="0"/>
        <v>1. HVAC Design Review</v>
      </c>
      <c r="C40" s="366" t="str">
        <f>'1. HVAC Design Review'!$B$20&amp;'1. HVAC Design Review'!$B$23&amp;"Zone 3"&amp;"_Field"</f>
        <v>Conditioned Floor Area of Heating / Cooling ZonesHome is between 300 sq. ft. smaller &amp; 100 sq. ft.  larger than HVAC design?Zone 3_Field</v>
      </c>
      <c r="D40" s="141" t="str">
        <f>'1. HVAC Design Review'!P23</f>
        <v>Yes</v>
      </c>
      <c r="E40" s="362"/>
      <c r="F40" s="141" t="str">
        <f>'1. HVAC Design Review'!$S$20</f>
        <v>4.3.1.3</v>
      </c>
    </row>
    <row r="41" spans="1:28" x14ac:dyDescent="0.25">
      <c r="B41" s="199" t="str">
        <f t="shared" ca="1" si="0"/>
        <v>1. HVAC Design Review</v>
      </c>
      <c r="C41" s="366" t="str">
        <f>'1. HVAC Design Review'!$B$25&amp;'1. HVAC Design Review'!$B$26&amp;"Zone 1"&amp;"_Field"</f>
        <v>Window Area of Heating / Cooling ZonesHVAC DesignZone 1_Field</v>
      </c>
      <c r="D41" s="97">
        <f>'1. HVAC Design Review'!N26</f>
        <v>0</v>
      </c>
      <c r="E41" s="141" t="str">
        <f>'1. HVAC Design Review'!$R$26</f>
        <v xml:space="preserve">Sq. Ft. </v>
      </c>
      <c r="F41" s="141" t="str">
        <f>'1. HVAC Design Review'!$S$25</f>
        <v>4.3.1.4</v>
      </c>
    </row>
    <row r="42" spans="1:28" x14ac:dyDescent="0.25">
      <c r="B42" s="199" t="str">
        <f t="shared" ca="1" si="0"/>
        <v>1. HVAC Design Review</v>
      </c>
      <c r="C42" s="366" t="str">
        <f>'1. HVAC Design Review'!$B$25&amp;'1. HVAC Design Review'!$B$22&amp;"Zone 1"&amp;"_Field"</f>
        <v>Window Area of Heating / Cooling ZonesHomeZone 1_Field</v>
      </c>
      <c r="D42" s="97">
        <f>'1. HVAC Design Review'!N27</f>
        <v>0</v>
      </c>
      <c r="E42" s="141" t="str">
        <f>'1. HVAC Design Review'!$R$27</f>
        <v xml:space="preserve">Sq. Ft. </v>
      </c>
      <c r="F42" s="141" t="str">
        <f>'1. HVAC Design Review'!$S$25</f>
        <v>4.3.1.4</v>
      </c>
    </row>
    <row r="43" spans="1:28" x14ac:dyDescent="0.25">
      <c r="B43" s="199" t="str">
        <f t="shared" ca="1" si="0"/>
        <v>1. HVAC Design Review</v>
      </c>
      <c r="C43" s="366" t="str">
        <f>'1. HVAC Design Review'!$B$25&amp;'1. HVAC Design Review'!$B$23&amp;"Zone 1"&amp;"_Field"</f>
        <v>Window Area of Heating / Cooling ZonesHome is between 300 sq. ft. smaller &amp; 100 sq. ft.  larger than HVAC design?Zone 1_Field</v>
      </c>
      <c r="D43" s="141" t="str">
        <f>'1. HVAC Design Review'!N28</f>
        <v>Yes</v>
      </c>
      <c r="E43" s="362"/>
      <c r="F43" s="141" t="str">
        <f>'1. HVAC Design Review'!$S$25</f>
        <v>4.3.1.4</v>
      </c>
    </row>
    <row r="44" spans="1:28" x14ac:dyDescent="0.25">
      <c r="B44" s="199" t="str">
        <f t="shared" ca="1" si="0"/>
        <v>1. HVAC Design Review</v>
      </c>
      <c r="C44" s="366" t="str">
        <f>'1. HVAC Design Review'!$B$25&amp;'1. HVAC Design Review'!$B$26&amp;"Zone 2"&amp;"_Field"</f>
        <v>Window Area of Heating / Cooling ZonesHVAC DesignZone 2_Field</v>
      </c>
      <c r="D44" s="97">
        <f>'1. HVAC Design Review'!O26</f>
        <v>0</v>
      </c>
      <c r="E44" s="141" t="str">
        <f>'1. HVAC Design Review'!$R$26</f>
        <v xml:space="preserve">Sq. Ft. </v>
      </c>
      <c r="F44" s="141" t="str">
        <f>'1. HVAC Design Review'!$S$25</f>
        <v>4.3.1.4</v>
      </c>
    </row>
    <row r="45" spans="1:28" x14ac:dyDescent="0.25">
      <c r="B45" s="199" t="str">
        <f t="shared" ca="1" si="0"/>
        <v>1. HVAC Design Review</v>
      </c>
      <c r="C45" s="366" t="str">
        <f>'1. HVAC Design Review'!$B$25&amp;'1. HVAC Design Review'!$B$22&amp;"Zone 2"&amp;"_Field"</f>
        <v>Window Area of Heating / Cooling ZonesHomeZone 2_Field</v>
      </c>
      <c r="D45" s="97">
        <f>'1. HVAC Design Review'!O27</f>
        <v>0</v>
      </c>
      <c r="E45" s="141" t="str">
        <f>'1. HVAC Design Review'!$R$27</f>
        <v xml:space="preserve">Sq. Ft. </v>
      </c>
      <c r="F45" s="141" t="str">
        <f>'1. HVAC Design Review'!$S$25</f>
        <v>4.3.1.4</v>
      </c>
    </row>
    <row r="46" spans="1:28" s="193" customFormat="1" x14ac:dyDescent="0.25">
      <c r="A46" s="191"/>
      <c r="B46" s="199" t="str">
        <f t="shared" ca="1" si="0"/>
        <v>1. HVAC Design Review</v>
      </c>
      <c r="C46" s="366" t="str">
        <f>'1. HVAC Design Review'!$B$25&amp;'1. HVAC Design Review'!$B$23&amp;"Zone 2"&amp;"_Field"</f>
        <v>Window Area of Heating / Cooling ZonesHome is between 300 sq. ft. smaller &amp; 100 sq. ft.  larger than HVAC design?Zone 2_Field</v>
      </c>
      <c r="D46" s="141" t="str">
        <f>'1. HVAC Design Review'!O28</f>
        <v>Yes</v>
      </c>
      <c r="E46" s="141"/>
      <c r="F46" s="141" t="str">
        <f>'1. HVAC Design Review'!$S$25</f>
        <v>4.3.1.4</v>
      </c>
      <c r="AB46" s="191"/>
    </row>
    <row r="47" spans="1:28" s="193" customFormat="1" x14ac:dyDescent="0.25">
      <c r="A47" s="191"/>
      <c r="B47" s="199" t="str">
        <f t="shared" ca="1" si="0"/>
        <v>1. HVAC Design Review</v>
      </c>
      <c r="C47" s="366" t="str">
        <f>'1. HVAC Design Review'!$B$25&amp;'1. HVAC Design Review'!$B$26&amp;"Zone 3"&amp;"_Field"</f>
        <v>Window Area of Heating / Cooling ZonesHVAC DesignZone 3_Field</v>
      </c>
      <c r="D47" s="97">
        <f>'1. HVAC Design Review'!P26</f>
        <v>0</v>
      </c>
      <c r="E47" s="141" t="str">
        <f>'1. HVAC Design Review'!$R$26</f>
        <v xml:space="preserve">Sq. Ft. </v>
      </c>
      <c r="F47" s="141" t="str">
        <f>'1. HVAC Design Review'!$S$25</f>
        <v>4.3.1.4</v>
      </c>
      <c r="AB47" s="191"/>
    </row>
    <row r="48" spans="1:28" s="193" customFormat="1" x14ac:dyDescent="0.25">
      <c r="B48" s="199" t="str">
        <f t="shared" ca="1" si="0"/>
        <v>1. HVAC Design Review</v>
      </c>
      <c r="C48" s="366" t="str">
        <f>'1. HVAC Design Review'!$B$25&amp;'1. HVAC Design Review'!$B$22&amp;"Zone 3"&amp;"_Field"</f>
        <v>Window Area of Heating / Cooling ZonesHomeZone 3_Field</v>
      </c>
      <c r="D48" s="97">
        <f>'1. HVAC Design Review'!P27</f>
        <v>0</v>
      </c>
      <c r="E48" s="141" t="str">
        <f>'1. HVAC Design Review'!$R$27</f>
        <v xml:space="preserve">Sq. Ft. </v>
      </c>
      <c r="F48" s="141" t="str">
        <f>'1. HVAC Design Review'!$S$25</f>
        <v>4.3.1.4</v>
      </c>
      <c r="AB48" s="191"/>
    </row>
    <row r="49" spans="2:28" s="193" customFormat="1" x14ac:dyDescent="0.25">
      <c r="B49" s="199" t="str">
        <f t="shared" ca="1" si="0"/>
        <v>1. HVAC Design Review</v>
      </c>
      <c r="C49" s="366" t="str">
        <f>'1. HVAC Design Review'!$B$25&amp;'1. HVAC Design Review'!$B$23&amp;"Zone 3"&amp;"_Field"</f>
        <v>Window Area of Heating / Cooling ZonesHome is between 300 sq. ft. smaller &amp; 100 sq. ft.  larger than HVAC design?Zone 3_Field</v>
      </c>
      <c r="D49" s="141" t="str">
        <f>'1. HVAC Design Review'!P28</f>
        <v>Yes</v>
      </c>
      <c r="E49" s="141"/>
      <c r="F49" s="141" t="str">
        <f>'1. HVAC Design Review'!$S$25</f>
        <v>4.3.1.4</v>
      </c>
      <c r="AB49" s="191"/>
    </row>
    <row r="50" spans="2:28" s="193" customFormat="1" x14ac:dyDescent="0.25">
      <c r="B50" s="199" t="str">
        <f t="shared" ca="1" si="0"/>
        <v>1. HVAC Design Review</v>
      </c>
      <c r="C50" s="200" t="str">
        <f>'1. HVAC Design Review'!$B$31&amp;'1. HVAC Design Review'!$B$32&amp;"Zone 1"&amp;"_Field"</f>
        <v>Heating / Cooling Loads Methodology and OrientationsIn HVAC Design, is the max. minus min. total heat gain across orientations ≤ 6 kBtuh?Zone 1_Field</v>
      </c>
      <c r="D50" s="141" t="str">
        <f>'1. HVAC Design Review'!N32</f>
        <v>N/A</v>
      </c>
      <c r="E50" s="141"/>
      <c r="F50" s="141" t="str">
        <f>'1. HVAC Design Review'!$S$32</f>
        <v>4.3.1.6</v>
      </c>
      <c r="AB50" s="191"/>
    </row>
    <row r="51" spans="2:28" s="193" customFormat="1" x14ac:dyDescent="0.25">
      <c r="B51" s="199" t="str">
        <f t="shared" ca="1" si="0"/>
        <v>1. HVAC Design Review</v>
      </c>
      <c r="C51" s="200" t="str">
        <f>'1. HVAC Design Review'!$B$31&amp;'1. HVAC Design Review'!$B$32&amp;"Zone 2"&amp;"_Field"</f>
        <v>Heating / Cooling Loads Methodology and OrientationsIn HVAC Design, is the max. minus min. total heat gain across orientations ≤ 6 kBtuh?Zone 2_Field</v>
      </c>
      <c r="D51" s="141" t="str">
        <f>'1. HVAC Design Review'!O32</f>
        <v>N/A</v>
      </c>
      <c r="E51" s="141"/>
      <c r="F51" s="141" t="str">
        <f>'1. HVAC Design Review'!$S$32</f>
        <v>4.3.1.6</v>
      </c>
      <c r="AB51" s="191"/>
    </row>
    <row r="52" spans="2:28" s="193" customFormat="1" x14ac:dyDescent="0.25">
      <c r="B52" s="199" t="str">
        <f t="shared" ca="1" si="0"/>
        <v>1. HVAC Design Review</v>
      </c>
      <c r="C52" s="200" t="str">
        <f>'1. HVAC Design Review'!$B$31&amp;'1. HVAC Design Review'!$B$32&amp;"Zone 3"&amp;"_Field"</f>
        <v>Heating / Cooling Loads Methodology and OrientationsIn HVAC Design, is the max. minus min. total heat gain across orientations ≤ 6 kBtuh?Zone 3_Field</v>
      </c>
      <c r="D52" s="141" t="str">
        <f>'1. HVAC Design Review'!P32</f>
        <v>N/A</v>
      </c>
      <c r="E52" s="141"/>
      <c r="F52" s="141" t="str">
        <f>'1. HVAC Design Review'!$S$32</f>
        <v>4.3.1.6</v>
      </c>
      <c r="AB52" s="191"/>
    </row>
    <row r="53" spans="2:28" s="193" customFormat="1" x14ac:dyDescent="0.25">
      <c r="B53" s="199" t="str">
        <f t="shared" ca="1" si="0"/>
        <v>1. HVAC Design Review</v>
      </c>
      <c r="C53" s="361" t="str">
        <f>'1. HVAC Design Review'!$B$34</f>
        <v>Does front orientation of the Home match one of the orientations in the HVAC design?</v>
      </c>
      <c r="D53" s="96" t="str">
        <f>'1. HVAC Design Review'!P34</f>
        <v>Yes</v>
      </c>
      <c r="E53" s="141"/>
      <c r="F53" s="141" t="str">
        <f>'1. HVAC Design Review'!$S$34</f>
        <v>4.3.1.5</v>
      </c>
      <c r="AB53" s="191"/>
    </row>
    <row r="54" spans="2:28" s="193" customFormat="1" x14ac:dyDescent="0.25">
      <c r="B54" s="199" t="str">
        <f t="shared" ca="1" si="0"/>
        <v>1. HVAC Design Review</v>
      </c>
      <c r="C54" s="200" t="str">
        <f>'1. HVAC Design Review'!$B$35</f>
        <v>In HVAC Design, have heating and cooling loads have been calculated room-by-room?</v>
      </c>
      <c r="D54" s="141" t="str">
        <f>'1. HVAC Design Review'!P35</f>
        <v>Yes</v>
      </c>
      <c r="E54" s="141"/>
      <c r="F54" s="141" t="str">
        <f>'1. HVAC Design Review'!$S$35</f>
        <v>4.3.1.7</v>
      </c>
      <c r="AB54" s="191"/>
    </row>
    <row r="55" spans="2:28" s="193" customFormat="1" x14ac:dyDescent="0.25">
      <c r="B55" s="199" t="str">
        <f t="shared" ca="1" si="0"/>
        <v>1. HVAC Design Review</v>
      </c>
      <c r="C55" s="199" t="str">
        <f>'1. HVAC Design Review'!A37&amp;'1. HVAC Design Review'!N37</f>
        <v>For A Dwelling / Sleeping Unit in a Multifamily Building w/ Heat Gain ≤18 kBTUh &amp; Heat Loss ≤35 kBTUhComplete this section?</v>
      </c>
      <c r="D55" s="97" t="str">
        <f>'1. HVAC Design Review'!P37</f>
        <v>No</v>
      </c>
      <c r="E55" s="141"/>
      <c r="F55" s="141"/>
      <c r="G55"/>
      <c r="H55"/>
      <c r="I55"/>
      <c r="J55"/>
      <c r="K55"/>
      <c r="L55"/>
      <c r="M55"/>
      <c r="N55"/>
      <c r="O55"/>
      <c r="P55"/>
      <c r="Q55"/>
      <c r="R55"/>
      <c r="S55"/>
      <c r="T55"/>
      <c r="U55"/>
      <c r="V55"/>
      <c r="W55"/>
      <c r="X55"/>
      <c r="Y55"/>
      <c r="Z55"/>
      <c r="AA55"/>
      <c r="AB55"/>
    </row>
    <row r="56" spans="2:28" s="193" customFormat="1" x14ac:dyDescent="0.25">
      <c r="B56" s="199" t="str">
        <f t="shared" ca="1" si="0"/>
        <v>1. HVAC Design Review</v>
      </c>
      <c r="C56" s="199" t="str">
        <f>'1. HVAC Design Review'!A37&amp;'1. HVAC Design Review'!O38</f>
        <v xml:space="preserve">For A Dwelling / Sleeping Unit in a Multifamily Building w/ Heat Gain ≤18 kBTUh &amp; Heat Loss ≤35 kBTUhRequired data inputs provided? </v>
      </c>
      <c r="D56" s="97" t="str">
        <f>'1. HVAC Design Review'!P38</f>
        <v>N/A</v>
      </c>
      <c r="E56" s="141"/>
      <c r="F56" s="141"/>
      <c r="G56"/>
      <c r="H56"/>
      <c r="I56"/>
      <c r="J56"/>
      <c r="K56"/>
      <c r="L56"/>
      <c r="M56"/>
      <c r="N56"/>
      <c r="O56"/>
      <c r="P56"/>
      <c r="Q56"/>
      <c r="R56"/>
      <c r="S56"/>
      <c r="T56"/>
      <c r="U56"/>
      <c r="V56"/>
      <c r="W56"/>
      <c r="X56"/>
      <c r="Y56"/>
      <c r="Z56"/>
      <c r="AA56"/>
      <c r="AB56"/>
    </row>
    <row r="57" spans="2:28" s="193" customFormat="1" x14ac:dyDescent="0.25">
      <c r="B57" s="199" t="str">
        <f t="shared" ca="1" si="0"/>
        <v>1. HVAC Design Review</v>
      </c>
      <c r="C57" s="199" t="str">
        <f>'1. HVAC Design Review'!$B$41&amp;"_Plan"</f>
        <v>Does the unique identifier for the building that the Home is in match the HVAC design?_Plan</v>
      </c>
      <c r="D57" s="96" t="str">
        <f>'1. HVAC Design Review'!K41</f>
        <v>Yes</v>
      </c>
      <c r="E57" s="141"/>
      <c r="F57" s="141" t="str">
        <f>'1. HVAC Design Review'!$S$41</f>
        <v>4.3.2.1</v>
      </c>
      <c r="G57"/>
      <c r="H57"/>
      <c r="I57"/>
      <c r="J57"/>
      <c r="K57"/>
      <c r="L57"/>
      <c r="M57"/>
      <c r="N57"/>
      <c r="O57"/>
      <c r="P57"/>
      <c r="Q57"/>
      <c r="R57"/>
      <c r="S57"/>
      <c r="T57"/>
      <c r="U57"/>
      <c r="V57"/>
      <c r="W57"/>
      <c r="X57"/>
      <c r="Y57"/>
      <c r="Z57"/>
      <c r="AA57"/>
      <c r="AB57"/>
    </row>
    <row r="58" spans="2:28" s="193" customFormat="1" x14ac:dyDescent="0.25">
      <c r="B58" s="199" t="str">
        <f t="shared" ca="1" si="0"/>
        <v>1. HVAC Design Review</v>
      </c>
      <c r="C58" s="199" t="str">
        <f>'1. HVAC Design Review'!B42&amp;"_Plan"</f>
        <v>Does name of the plan for the Home either: a) match the HVAC design or b) is it included in the list of plans that the HVAC design can be used with AND the plan used in the HVAC design has the largest conditioned floor area among the plans listed?_Plan</v>
      </c>
      <c r="D58" s="96" t="str">
        <f>'1. HVAC Design Review'!K42</f>
        <v>Yes</v>
      </c>
      <c r="E58" s="141"/>
      <c r="F58" s="141" t="str">
        <f>'1. HVAC Design Review'!$S$42</f>
        <v>4.3.2.2</v>
      </c>
      <c r="G58"/>
      <c r="H58"/>
      <c r="I58"/>
      <c r="J58"/>
      <c r="K58"/>
      <c r="L58"/>
      <c r="M58"/>
      <c r="N58"/>
      <c r="O58"/>
      <c r="P58"/>
      <c r="Q58"/>
      <c r="R58"/>
      <c r="S58"/>
      <c r="T58"/>
      <c r="U58"/>
      <c r="V58"/>
      <c r="W58"/>
      <c r="X58"/>
      <c r="Y58"/>
      <c r="Z58"/>
      <c r="AA58"/>
      <c r="AB58"/>
    </row>
    <row r="59" spans="2:28" s="193" customFormat="1" x14ac:dyDescent="0.25">
      <c r="B59" s="199" t="str">
        <f t="shared" ca="1" si="0"/>
        <v>1. HVAC Design Review</v>
      </c>
      <c r="C59" s="199" t="str">
        <f>'1. HVAC Design Review'!B46&amp;"_Plan"</f>
        <v>Do the options used in the Home either: a) match those in the HVAC design, or b) are they listed in the options the HVAC design can be used with AND the options used in the HVAC design have the largest conditioned floor area among the options listed?_Plan</v>
      </c>
      <c r="D59" s="96" t="str">
        <f>'1. HVAC Design Review'!K46</f>
        <v>Yes</v>
      </c>
      <c r="E59" s="141"/>
      <c r="F59" s="141" t="str">
        <f>'1. HVAC Design Review'!S46</f>
        <v>4.3.2.3</v>
      </c>
      <c r="G59"/>
      <c r="H59"/>
      <c r="I59"/>
      <c r="J59"/>
      <c r="K59"/>
      <c r="L59"/>
      <c r="M59"/>
      <c r="N59"/>
      <c r="O59"/>
      <c r="P59"/>
      <c r="Q59"/>
      <c r="R59"/>
      <c r="S59"/>
      <c r="T59"/>
      <c r="U59"/>
      <c r="V59"/>
      <c r="W59"/>
      <c r="X59"/>
      <c r="Y59"/>
      <c r="Z59"/>
      <c r="AA59"/>
      <c r="AB59"/>
    </row>
    <row r="60" spans="2:28" s="193" customFormat="1" x14ac:dyDescent="0.25">
      <c r="B60" s="199" t="str">
        <f t="shared" ca="1" si="0"/>
        <v>1. HVAC Design Review</v>
      </c>
      <c r="C60" s="366" t="str">
        <f>'1. HVAC Design Review'!$B$50&amp;'1. HVAC Design Review'!$B$51&amp;"Zone 1"&amp;"_Plan"</f>
        <v>Window Area of Heating / Cooling ZonesHVAC DesignZone 1_Plan</v>
      </c>
      <c r="D60" s="97">
        <f>'1. HVAC Design Review'!I51</f>
        <v>0</v>
      </c>
      <c r="E60" s="141" t="str">
        <f>'1. HVAC Design Review'!$R$51</f>
        <v xml:space="preserve">Sq. Ft. </v>
      </c>
      <c r="F60" s="141" t="str">
        <f>'1. HVAC Design Review'!$S$50</f>
        <v>4.3.2.4</v>
      </c>
      <c r="G60"/>
      <c r="H60"/>
      <c r="I60"/>
      <c r="J60"/>
      <c r="K60"/>
      <c r="L60"/>
      <c r="M60"/>
      <c r="N60"/>
      <c r="O60"/>
      <c r="P60"/>
      <c r="Q60"/>
      <c r="R60"/>
      <c r="S60"/>
      <c r="T60"/>
      <c r="U60"/>
      <c r="V60"/>
      <c r="W60"/>
      <c r="X60"/>
      <c r="Y60"/>
      <c r="Z60"/>
      <c r="AA60"/>
      <c r="AB60"/>
    </row>
    <row r="61" spans="2:28" s="193" customFormat="1" x14ac:dyDescent="0.25">
      <c r="B61" s="199" t="str">
        <f t="shared" ca="1" si="0"/>
        <v>1. HVAC Design Review</v>
      </c>
      <c r="C61" s="366" t="str">
        <f>'1. HVAC Design Review'!$B$50&amp;'1. HVAC Design Review'!$B$52&amp;"Zone 1"&amp;"_Plan"</f>
        <v>Window Area of Heating / Cooling ZonesHomeZone 1_Plan</v>
      </c>
      <c r="D61" s="97">
        <f>'1. HVAC Design Review'!I52</f>
        <v>0</v>
      </c>
      <c r="E61" s="141" t="str">
        <f>'1. HVAC Design Review'!$R$52</f>
        <v xml:space="preserve">Sq. Ft. </v>
      </c>
      <c r="F61" s="141" t="str">
        <f>'1. HVAC Design Review'!$S$50</f>
        <v>4.3.2.4</v>
      </c>
      <c r="G61"/>
      <c r="H61"/>
      <c r="I61"/>
      <c r="J61"/>
      <c r="K61"/>
      <c r="L61"/>
      <c r="M61"/>
      <c r="N61"/>
      <c r="O61"/>
      <c r="P61"/>
      <c r="Q61"/>
      <c r="R61"/>
      <c r="S61"/>
      <c r="T61"/>
      <c r="U61"/>
      <c r="V61"/>
      <c r="W61"/>
      <c r="X61"/>
      <c r="Y61"/>
      <c r="Z61"/>
      <c r="AA61"/>
      <c r="AB61"/>
    </row>
    <row r="62" spans="2:28" s="193" customFormat="1" ht="15.75" customHeight="1" x14ac:dyDescent="0.25">
      <c r="B62" s="199" t="str">
        <f t="shared" ca="1" si="0"/>
        <v>1. HVAC Design Review</v>
      </c>
      <c r="C62" s="366" t="str">
        <f>'1. HVAC Design Review'!$B$50&amp;'1. HVAC Design Review'!$B$53&amp;"Zone 1"&amp;"_Plan"</f>
        <v>Window Area of Heating / Cooling ZonesHome is less than or equal to HVAC design?Zone 1_Plan</v>
      </c>
      <c r="D62" s="141" t="str">
        <f>'1. HVAC Design Review'!I53</f>
        <v>Yes</v>
      </c>
      <c r="E62" s="141" t="str">
        <f>'1. HVAC Design Review'!$R$52</f>
        <v xml:space="preserve">Sq. Ft. </v>
      </c>
      <c r="F62" s="141" t="str">
        <f>'1. HVAC Design Review'!$S$50</f>
        <v>4.3.2.4</v>
      </c>
      <c r="G62"/>
      <c r="H62"/>
      <c r="I62"/>
      <c r="J62"/>
      <c r="K62"/>
      <c r="L62"/>
      <c r="M62"/>
      <c r="N62"/>
      <c r="O62"/>
      <c r="P62"/>
      <c r="Q62"/>
      <c r="R62"/>
      <c r="S62"/>
      <c r="T62"/>
      <c r="U62"/>
      <c r="V62"/>
      <c r="W62"/>
      <c r="X62"/>
      <c r="Y62"/>
      <c r="Z62"/>
      <c r="AA62"/>
      <c r="AB62"/>
    </row>
    <row r="63" spans="2:28" s="193" customFormat="1" x14ac:dyDescent="0.25">
      <c r="B63" s="199" t="str">
        <f t="shared" ca="1" si="0"/>
        <v>1. HVAC Design Review</v>
      </c>
      <c r="C63" s="366" t="str">
        <f>'1. HVAC Design Review'!$B$50&amp;'1. HVAC Design Review'!$B$51&amp;"Zone 2"&amp;"_Plan"</f>
        <v>Window Area of Heating / Cooling ZonesHVAC DesignZone 2_Plan</v>
      </c>
      <c r="D63" s="97">
        <f>'1. HVAC Design Review'!J51</f>
        <v>0</v>
      </c>
      <c r="E63" s="141" t="str">
        <f>'1. HVAC Design Review'!$R$52</f>
        <v xml:space="preserve">Sq. Ft. </v>
      </c>
      <c r="F63" s="141" t="str">
        <f>'1. HVAC Design Review'!$S$50</f>
        <v>4.3.2.4</v>
      </c>
      <c r="G63"/>
      <c r="H63"/>
      <c r="I63"/>
      <c r="J63"/>
      <c r="K63"/>
      <c r="L63"/>
      <c r="M63"/>
      <c r="N63"/>
      <c r="O63"/>
      <c r="P63"/>
      <c r="Q63"/>
      <c r="R63"/>
      <c r="S63"/>
      <c r="T63"/>
      <c r="U63"/>
      <c r="V63"/>
      <c r="W63"/>
      <c r="X63"/>
      <c r="Y63"/>
      <c r="Z63"/>
      <c r="AA63"/>
      <c r="AB63"/>
    </row>
    <row r="64" spans="2:28" s="193" customFormat="1" x14ac:dyDescent="0.25">
      <c r="B64" s="199" t="str">
        <f t="shared" ca="1" si="0"/>
        <v>1. HVAC Design Review</v>
      </c>
      <c r="C64" s="366" t="str">
        <f>'1. HVAC Design Review'!$B$50&amp;'1. HVAC Design Review'!$B$52&amp;"Zone 2"&amp;"_Plan"</f>
        <v>Window Area of Heating / Cooling ZonesHomeZone 2_Plan</v>
      </c>
      <c r="D64" s="97">
        <f>'1. HVAC Design Review'!J52</f>
        <v>0</v>
      </c>
      <c r="E64" s="141" t="str">
        <f>'1. HVAC Design Review'!$R$52</f>
        <v xml:space="preserve">Sq. Ft. </v>
      </c>
      <c r="F64" s="141" t="str">
        <f>'1. HVAC Design Review'!$S$50</f>
        <v>4.3.2.4</v>
      </c>
      <c r="G64"/>
      <c r="H64"/>
      <c r="I64"/>
      <c r="J64"/>
      <c r="K64"/>
      <c r="L64"/>
      <c r="M64"/>
      <c r="N64"/>
      <c r="O64"/>
      <c r="P64"/>
      <c r="Q64"/>
      <c r="R64"/>
      <c r="S64"/>
      <c r="T64"/>
      <c r="U64"/>
      <c r="V64"/>
      <c r="W64"/>
      <c r="X64"/>
      <c r="Y64"/>
      <c r="Z64"/>
      <c r="AA64"/>
      <c r="AB64"/>
    </row>
    <row r="65" spans="2:28" s="193" customFormat="1" x14ac:dyDescent="0.25">
      <c r="B65" s="199" t="str">
        <f t="shared" ca="1" si="0"/>
        <v>1. HVAC Design Review</v>
      </c>
      <c r="C65" s="366" t="str">
        <f>'1. HVAC Design Review'!$B$50&amp;'1. HVAC Design Review'!$B$53&amp;"Zone 2"&amp;"_Plan"</f>
        <v>Window Area of Heating / Cooling ZonesHome is less than or equal to HVAC design?Zone 2_Plan</v>
      </c>
      <c r="D65" s="141" t="str">
        <f>'1. HVAC Design Review'!J53</f>
        <v>Yes</v>
      </c>
      <c r="E65" s="141" t="str">
        <f>'1. HVAC Design Review'!$R$52</f>
        <v xml:space="preserve">Sq. Ft. </v>
      </c>
      <c r="F65" s="141" t="str">
        <f>'1. HVAC Design Review'!$S$50</f>
        <v>4.3.2.4</v>
      </c>
      <c r="G65"/>
      <c r="H65"/>
      <c r="I65"/>
      <c r="J65"/>
      <c r="K65"/>
      <c r="L65"/>
      <c r="M65"/>
      <c r="N65"/>
      <c r="O65"/>
      <c r="P65"/>
      <c r="Q65"/>
      <c r="R65"/>
      <c r="S65"/>
      <c r="T65"/>
      <c r="U65"/>
      <c r="V65"/>
      <c r="W65"/>
      <c r="X65"/>
      <c r="Y65"/>
      <c r="Z65"/>
      <c r="AA65"/>
      <c r="AB65"/>
    </row>
    <row r="66" spans="2:28" s="193" customFormat="1" x14ac:dyDescent="0.25">
      <c r="B66" s="199" t="str">
        <f t="shared" ca="1" si="0"/>
        <v>1. HVAC Design Review</v>
      </c>
      <c r="C66" s="366" t="str">
        <f>'1. HVAC Design Review'!$B$50&amp;'1. HVAC Design Review'!$B$51&amp;"Zone 3"&amp;"_Plan"</f>
        <v>Window Area of Heating / Cooling ZonesHVAC DesignZone 3_Plan</v>
      </c>
      <c r="D66" s="97">
        <f>'1. HVAC Design Review'!K51</f>
        <v>0</v>
      </c>
      <c r="E66" s="141" t="str">
        <f>'1. HVAC Design Review'!$R$52</f>
        <v xml:space="preserve">Sq. Ft. </v>
      </c>
      <c r="F66" s="141" t="str">
        <f>'1. HVAC Design Review'!$S$50</f>
        <v>4.3.2.4</v>
      </c>
      <c r="G66"/>
      <c r="H66"/>
      <c r="I66"/>
      <c r="J66"/>
      <c r="K66"/>
      <c r="L66"/>
      <c r="M66"/>
      <c r="N66"/>
      <c r="O66"/>
      <c r="P66"/>
      <c r="Q66"/>
      <c r="R66"/>
      <c r="S66"/>
      <c r="T66"/>
      <c r="U66"/>
      <c r="V66"/>
      <c r="W66"/>
      <c r="X66"/>
      <c r="Y66"/>
      <c r="Z66"/>
      <c r="AA66"/>
      <c r="AB66"/>
    </row>
    <row r="67" spans="2:28" s="193" customFormat="1" ht="15.75" customHeight="1" x14ac:dyDescent="0.25">
      <c r="B67" s="199" t="str">
        <f t="shared" ref="B67:B130" ca="1" si="1">MID(CELL("filename",INDIRECT(RIGHT(_xlfn.FORMULATEXT(D67),LEN(_xlfn.FORMULATEXT(D67))-1),TRUE)),FIND("]",CELL("filename",INDIRECT(RIGHT(_xlfn.FORMULATEXT(D67),LEN(_xlfn.FORMULATEXT(D67))-1),TRUE)))+1,255)</f>
        <v>1. HVAC Design Review</v>
      </c>
      <c r="C67" s="366" t="str">
        <f>'1. HVAC Design Review'!$B$50&amp;'1. HVAC Design Review'!$B$52&amp;"Zone 3"&amp;"_Plan"</f>
        <v>Window Area of Heating / Cooling ZonesHomeZone 3_Plan</v>
      </c>
      <c r="D67" s="97">
        <f>'1. HVAC Design Review'!K52</f>
        <v>0</v>
      </c>
      <c r="E67" s="141" t="str">
        <f>'1. HVAC Design Review'!$R$52</f>
        <v xml:space="preserve">Sq. Ft. </v>
      </c>
      <c r="F67" s="141" t="str">
        <f>'1. HVAC Design Review'!$S$50</f>
        <v>4.3.2.4</v>
      </c>
      <c r="G67"/>
      <c r="H67"/>
      <c r="I67"/>
      <c r="J67"/>
      <c r="K67"/>
      <c r="L67"/>
      <c r="M67"/>
      <c r="N67"/>
      <c r="O67"/>
      <c r="P67"/>
      <c r="Q67"/>
      <c r="R67"/>
      <c r="S67"/>
      <c r="T67"/>
      <c r="U67"/>
      <c r="V67"/>
      <c r="W67"/>
      <c r="X67"/>
      <c r="Y67"/>
      <c r="Z67"/>
      <c r="AA67"/>
      <c r="AB67"/>
    </row>
    <row r="68" spans="2:28" s="193" customFormat="1" x14ac:dyDescent="0.25">
      <c r="B68" s="199" t="str">
        <f t="shared" ca="1" si="1"/>
        <v>1. HVAC Design Review</v>
      </c>
      <c r="C68" s="366" t="str">
        <f>'1. HVAC Design Review'!$B$50&amp;'1. HVAC Design Review'!$B$53&amp;"Zone 3"&amp;"_Plan"</f>
        <v>Window Area of Heating / Cooling ZonesHome is less than or equal to HVAC design?Zone 3_Plan</v>
      </c>
      <c r="D68" s="141" t="str">
        <f>'1. HVAC Design Review'!K53</f>
        <v>Yes</v>
      </c>
      <c r="E68" s="141" t="str">
        <f>'1. HVAC Design Review'!$R$52</f>
        <v xml:space="preserve">Sq. Ft. </v>
      </c>
      <c r="F68" s="141" t="str">
        <f>'1. HVAC Design Review'!$S$50</f>
        <v>4.3.2.4</v>
      </c>
      <c r="G68"/>
      <c r="H68"/>
      <c r="I68"/>
      <c r="J68"/>
      <c r="K68"/>
      <c r="L68"/>
      <c r="M68"/>
      <c r="N68"/>
      <c r="O68"/>
      <c r="P68"/>
      <c r="Q68"/>
      <c r="R68"/>
      <c r="S68"/>
      <c r="T68"/>
      <c r="U68"/>
      <c r="V68"/>
      <c r="W68"/>
      <c r="X68"/>
      <c r="Y68"/>
      <c r="Z68"/>
      <c r="AA68"/>
      <c r="AB68"/>
    </row>
    <row r="69" spans="2:28" s="193" customFormat="1" x14ac:dyDescent="0.25">
      <c r="B69" s="199" t="str">
        <f t="shared" ca="1" si="1"/>
        <v>1. HVAC Design Review</v>
      </c>
      <c r="C69" s="199" t="str">
        <f>'1. HVAC Design Review'!$B$56&amp;"_Plan"</f>
        <v>Does the Home location (e.g., top, middle, bottom floor; corner or middle unit) match the HVAC design, or is the location of the HVAC Design a top floor and corner unit?_Plan</v>
      </c>
      <c r="D69" s="96" t="str">
        <f>'1. HVAC Design Review'!K56</f>
        <v>Yes</v>
      </c>
      <c r="E69" s="141"/>
      <c r="F69" s="141" t="str">
        <f>'1. HVAC Design Review'!$S$56</f>
        <v>4.3.2.5</v>
      </c>
      <c r="G69"/>
      <c r="H69"/>
      <c r="I69"/>
      <c r="J69"/>
      <c r="K69"/>
      <c r="L69"/>
      <c r="M69"/>
      <c r="N69"/>
      <c r="O69"/>
      <c r="P69"/>
      <c r="Q69"/>
      <c r="R69"/>
      <c r="S69"/>
      <c r="T69"/>
      <c r="U69"/>
      <c r="V69"/>
      <c r="W69"/>
      <c r="X69"/>
      <c r="Y69"/>
      <c r="Z69"/>
      <c r="AA69"/>
      <c r="AB69"/>
    </row>
    <row r="70" spans="2:28" s="193" customFormat="1" x14ac:dyDescent="0.25">
      <c r="B70" s="199" t="str">
        <f t="shared" ca="1" si="1"/>
        <v>1. HVAC Design Review</v>
      </c>
      <c r="C70" s="199" t="str">
        <f>'1. HVAC Design Review'!$B$58&amp;"_Plan"</f>
        <v>Have orientation-specific total heat gains been documented for all eight orientations?_Plan</v>
      </c>
      <c r="D70" s="96" t="str">
        <f>'1. HVAC Design Review'!K58</f>
        <v>Yes</v>
      </c>
      <c r="E70" s="141"/>
      <c r="F70" s="141" t="str">
        <f>'1. HVAC Design Review'!$S$58</f>
        <v>4.3.2.6</v>
      </c>
      <c r="G70"/>
      <c r="H70"/>
      <c r="I70"/>
      <c r="J70"/>
      <c r="K70"/>
      <c r="L70"/>
      <c r="M70"/>
      <c r="N70"/>
      <c r="O70"/>
      <c r="P70"/>
      <c r="Q70"/>
      <c r="R70"/>
      <c r="S70"/>
      <c r="T70"/>
      <c r="U70"/>
      <c r="V70"/>
      <c r="W70"/>
      <c r="X70"/>
      <c r="Y70"/>
      <c r="Z70"/>
      <c r="AA70"/>
      <c r="AB70"/>
    </row>
    <row r="71" spans="2:28" s="193" customFormat="1" x14ac:dyDescent="0.25">
      <c r="B71" s="199" t="str">
        <f t="shared" ca="1" si="1"/>
        <v>1. HVAC Design Review</v>
      </c>
      <c r="C71" s="199" t="str">
        <f>'1. HVAC Design Review'!$B$41&amp;"_Field"</f>
        <v>Does the unique identifier for the building that the Home is in match the HVAC design?_Field</v>
      </c>
      <c r="D71" s="96" t="str">
        <f>'1. HVAC Design Review'!P41</f>
        <v>Yes</v>
      </c>
      <c r="E71" s="141"/>
      <c r="F71" s="141" t="str">
        <f>'1. HVAC Design Review'!$S$41</f>
        <v>4.3.2.1</v>
      </c>
      <c r="G71"/>
      <c r="H71"/>
      <c r="I71"/>
      <c r="J71"/>
      <c r="K71"/>
      <c r="L71"/>
      <c r="M71"/>
      <c r="N71"/>
      <c r="O71"/>
      <c r="P71"/>
      <c r="Q71"/>
      <c r="R71"/>
      <c r="S71"/>
      <c r="T71"/>
      <c r="U71"/>
      <c r="V71"/>
      <c r="W71"/>
      <c r="X71"/>
      <c r="Y71"/>
      <c r="Z71"/>
      <c r="AA71"/>
      <c r="AB71"/>
    </row>
    <row r="72" spans="2:28" s="193" customFormat="1" x14ac:dyDescent="0.25">
      <c r="B72" s="199" t="str">
        <f t="shared" ca="1" si="1"/>
        <v>1. HVAC Design Review</v>
      </c>
      <c r="C72" s="199" t="str">
        <f>'1. HVAC Design Review'!B56&amp;"_Field"</f>
        <v>Does the Home location (e.g., top, middle, bottom floor; corner or middle unit) match the HVAC design, or is the location of the HVAC Design a top floor and corner unit?_Field</v>
      </c>
      <c r="D72" s="96" t="str">
        <f>'1. HVAC Design Review'!P42</f>
        <v>Yes</v>
      </c>
      <c r="E72" s="141"/>
      <c r="F72" s="141" t="str">
        <f>'1. HVAC Design Review'!$S$42</f>
        <v>4.3.2.2</v>
      </c>
      <c r="G72"/>
      <c r="H72"/>
      <c r="I72"/>
      <c r="J72"/>
      <c r="K72"/>
      <c r="L72"/>
      <c r="M72"/>
      <c r="N72"/>
      <c r="O72"/>
      <c r="P72"/>
      <c r="Q72"/>
      <c r="R72"/>
      <c r="S72"/>
      <c r="T72"/>
      <c r="U72"/>
      <c r="V72"/>
      <c r="W72"/>
      <c r="X72"/>
      <c r="Y72"/>
      <c r="Z72"/>
      <c r="AA72"/>
      <c r="AB72"/>
    </row>
    <row r="73" spans="2:28" s="193" customFormat="1" x14ac:dyDescent="0.25">
      <c r="B73" s="199" t="str">
        <f t="shared" ca="1" si="1"/>
        <v>1. HVAC Design Review</v>
      </c>
      <c r="C73" s="199" t="str">
        <f>'1. HVAC Design Review'!B46&amp;"_Field"</f>
        <v>Do the options used in the Home either: a) match those in the HVAC design, or b) are they listed in the options the HVAC design can be used with AND the options used in the HVAC design have the largest conditioned floor area among the options listed?_Field</v>
      </c>
      <c r="D73" s="96" t="str">
        <f>'1. HVAC Design Review'!P46</f>
        <v>Yes</v>
      </c>
      <c r="E73" s="141"/>
      <c r="F73" s="141" t="str">
        <f>'1. HVAC Design Review'!S46</f>
        <v>4.3.2.3</v>
      </c>
      <c r="G73"/>
      <c r="H73"/>
      <c r="I73"/>
      <c r="J73"/>
      <c r="K73"/>
      <c r="L73"/>
      <c r="M73"/>
      <c r="N73"/>
      <c r="O73"/>
      <c r="P73"/>
      <c r="Q73"/>
      <c r="R73"/>
      <c r="S73"/>
      <c r="T73"/>
      <c r="U73"/>
      <c r="V73"/>
      <c r="W73"/>
      <c r="X73"/>
      <c r="Y73"/>
      <c r="Z73"/>
      <c r="AA73"/>
      <c r="AB73"/>
    </row>
    <row r="74" spans="2:28" s="193" customFormat="1" x14ac:dyDescent="0.25">
      <c r="B74" s="199" t="str">
        <f t="shared" ca="1" si="1"/>
        <v>1. HVAC Design Review</v>
      </c>
      <c r="C74" s="366" t="str">
        <f>'1. HVAC Design Review'!$B$50&amp;'1. HVAC Design Review'!$B$51&amp;"Zone 1"&amp;"_Field"</f>
        <v>Window Area of Heating / Cooling ZonesHVAC DesignZone 1_Field</v>
      </c>
      <c r="D74" s="97">
        <f>'1. HVAC Design Review'!N51</f>
        <v>0</v>
      </c>
      <c r="E74" s="141" t="str">
        <f>'1. HVAC Design Review'!$R$51</f>
        <v xml:space="preserve">Sq. Ft. </v>
      </c>
      <c r="F74" s="141" t="str">
        <f>'1. HVAC Design Review'!$S$50</f>
        <v>4.3.2.4</v>
      </c>
      <c r="G74"/>
      <c r="H74"/>
      <c r="I74"/>
      <c r="J74"/>
      <c r="K74"/>
      <c r="L74"/>
      <c r="M74"/>
      <c r="N74"/>
      <c r="O74"/>
      <c r="P74"/>
      <c r="Q74"/>
      <c r="R74"/>
      <c r="S74"/>
      <c r="T74"/>
      <c r="U74"/>
      <c r="V74"/>
      <c r="W74"/>
      <c r="X74"/>
      <c r="Y74"/>
      <c r="Z74"/>
      <c r="AA74"/>
      <c r="AB74"/>
    </row>
    <row r="75" spans="2:28" s="193" customFormat="1" x14ac:dyDescent="0.25">
      <c r="B75" s="199" t="str">
        <f t="shared" ca="1" si="1"/>
        <v>1. HVAC Design Review</v>
      </c>
      <c r="C75" s="366" t="str">
        <f>'1. HVAC Design Review'!$B$50&amp;'1. HVAC Design Review'!$B$52&amp;"Zone 1"&amp;"_Field"</f>
        <v>Window Area of Heating / Cooling ZonesHomeZone 1_Field</v>
      </c>
      <c r="D75" s="97">
        <f>'1. HVAC Design Review'!N52</f>
        <v>0</v>
      </c>
      <c r="E75" s="141" t="str">
        <f>'1. HVAC Design Review'!$R$52</f>
        <v xml:space="preserve">Sq. Ft. </v>
      </c>
      <c r="F75" s="141" t="str">
        <f>'1. HVAC Design Review'!$S$50</f>
        <v>4.3.2.4</v>
      </c>
      <c r="G75"/>
      <c r="H75"/>
      <c r="I75"/>
      <c r="J75"/>
      <c r="K75"/>
      <c r="L75"/>
      <c r="M75"/>
      <c r="N75"/>
      <c r="O75"/>
      <c r="P75"/>
      <c r="Q75"/>
      <c r="R75"/>
      <c r="S75"/>
      <c r="T75"/>
      <c r="U75"/>
      <c r="V75"/>
      <c r="W75"/>
      <c r="X75"/>
      <c r="Y75"/>
      <c r="Z75"/>
      <c r="AA75"/>
      <c r="AB75"/>
    </row>
    <row r="76" spans="2:28" s="193" customFormat="1" x14ac:dyDescent="0.25">
      <c r="B76" s="199" t="str">
        <f t="shared" ca="1" si="1"/>
        <v>1. HVAC Design Review</v>
      </c>
      <c r="C76" s="366" t="str">
        <f>'1. HVAC Design Review'!$B$50&amp;'1. HVAC Design Review'!$B$53&amp;"Zone 1"&amp;"_Field"</f>
        <v>Window Area of Heating / Cooling ZonesHome is less than or equal to HVAC design?Zone 1_Field</v>
      </c>
      <c r="D76" s="141" t="str">
        <f>'1. HVAC Design Review'!N53</f>
        <v>Yes</v>
      </c>
      <c r="E76" s="141" t="str">
        <f>'1. HVAC Design Review'!$R$52</f>
        <v xml:space="preserve">Sq. Ft. </v>
      </c>
      <c r="F76" s="141" t="str">
        <f>'1. HVAC Design Review'!$S$50</f>
        <v>4.3.2.4</v>
      </c>
      <c r="G76"/>
      <c r="H76"/>
      <c r="I76"/>
      <c r="J76"/>
      <c r="K76"/>
      <c r="L76"/>
      <c r="M76"/>
      <c r="N76"/>
      <c r="O76"/>
      <c r="P76"/>
      <c r="Q76"/>
      <c r="R76"/>
      <c r="S76"/>
      <c r="T76"/>
      <c r="U76"/>
      <c r="V76"/>
      <c r="W76"/>
      <c r="X76"/>
      <c r="Y76"/>
      <c r="Z76"/>
      <c r="AA76"/>
      <c r="AB76"/>
    </row>
    <row r="77" spans="2:28" s="193" customFormat="1" x14ac:dyDescent="0.25">
      <c r="B77" s="199" t="str">
        <f t="shared" ca="1" si="1"/>
        <v>1. HVAC Design Review</v>
      </c>
      <c r="C77" s="366" t="str">
        <f>'1. HVAC Design Review'!$B$50&amp;'1. HVAC Design Review'!$B$51&amp;"Zone 2"&amp;"_Field"</f>
        <v>Window Area of Heating / Cooling ZonesHVAC DesignZone 2_Field</v>
      </c>
      <c r="D77" s="97">
        <f>'1. HVAC Design Review'!O51</f>
        <v>0</v>
      </c>
      <c r="E77" s="141" t="str">
        <f>'1. HVAC Design Review'!$R$52</f>
        <v xml:space="preserve">Sq. Ft. </v>
      </c>
      <c r="F77" s="141" t="str">
        <f>'1. HVAC Design Review'!$S$50</f>
        <v>4.3.2.4</v>
      </c>
      <c r="G77"/>
      <c r="H77"/>
      <c r="I77"/>
      <c r="J77"/>
      <c r="K77"/>
      <c r="L77"/>
      <c r="M77"/>
      <c r="N77"/>
      <c r="O77"/>
      <c r="P77"/>
      <c r="Q77"/>
      <c r="R77"/>
      <c r="S77"/>
      <c r="T77"/>
      <c r="U77"/>
      <c r="V77"/>
      <c r="W77"/>
      <c r="X77"/>
      <c r="Y77"/>
      <c r="Z77"/>
      <c r="AA77"/>
      <c r="AB77"/>
    </row>
    <row r="78" spans="2:28" s="193" customFormat="1" x14ac:dyDescent="0.25">
      <c r="B78" s="199" t="str">
        <f t="shared" ca="1" si="1"/>
        <v>1. HVAC Design Review</v>
      </c>
      <c r="C78" s="366" t="str">
        <f>'1. HVAC Design Review'!$B$50&amp;'1. HVAC Design Review'!$B$52&amp;"Zone 2"&amp;"_Field"</f>
        <v>Window Area of Heating / Cooling ZonesHomeZone 2_Field</v>
      </c>
      <c r="D78" s="97">
        <f>'1. HVAC Design Review'!O52</f>
        <v>0</v>
      </c>
      <c r="E78" s="141" t="str">
        <f>'1. HVAC Design Review'!$R$52</f>
        <v xml:space="preserve">Sq. Ft. </v>
      </c>
      <c r="F78" s="141" t="str">
        <f>'1. HVAC Design Review'!$S$50</f>
        <v>4.3.2.4</v>
      </c>
      <c r="G78"/>
      <c r="H78"/>
      <c r="I78"/>
      <c r="J78"/>
      <c r="K78"/>
      <c r="L78"/>
      <c r="M78"/>
      <c r="N78"/>
      <c r="O78"/>
      <c r="P78"/>
      <c r="Q78"/>
      <c r="R78"/>
      <c r="S78"/>
      <c r="T78"/>
      <c r="U78"/>
      <c r="V78"/>
      <c r="W78"/>
      <c r="X78"/>
      <c r="Y78"/>
      <c r="Z78"/>
      <c r="AA78"/>
      <c r="AB78"/>
    </row>
    <row r="79" spans="2:28" s="193" customFormat="1" x14ac:dyDescent="0.25">
      <c r="B79" s="199" t="str">
        <f t="shared" ca="1" si="1"/>
        <v>1. HVAC Design Review</v>
      </c>
      <c r="C79" s="366" t="str">
        <f>'1. HVAC Design Review'!$B$50&amp;'1. HVAC Design Review'!$B$53&amp;"Zone 2"&amp;"_Field"</f>
        <v>Window Area of Heating / Cooling ZonesHome is less than or equal to HVAC design?Zone 2_Field</v>
      </c>
      <c r="D79" s="141" t="str">
        <f>'1. HVAC Design Review'!O53</f>
        <v>Yes</v>
      </c>
      <c r="E79" s="141" t="str">
        <f>'1. HVAC Design Review'!$R$52</f>
        <v xml:space="preserve">Sq. Ft. </v>
      </c>
      <c r="F79" s="141" t="str">
        <f>'1. HVAC Design Review'!$S$50</f>
        <v>4.3.2.4</v>
      </c>
      <c r="G79"/>
      <c r="H79"/>
      <c r="I79"/>
      <c r="J79"/>
      <c r="K79"/>
      <c r="L79"/>
      <c r="M79"/>
      <c r="N79"/>
      <c r="O79"/>
      <c r="P79"/>
      <c r="Q79"/>
      <c r="R79"/>
      <c r="S79"/>
      <c r="T79"/>
      <c r="U79"/>
      <c r="V79"/>
      <c r="W79"/>
      <c r="X79"/>
      <c r="Y79"/>
      <c r="Z79"/>
      <c r="AA79"/>
      <c r="AB79"/>
    </row>
    <row r="80" spans="2:28" s="193" customFormat="1" x14ac:dyDescent="0.25">
      <c r="B80" s="199" t="str">
        <f t="shared" ca="1" si="1"/>
        <v>1. HVAC Design Review</v>
      </c>
      <c r="C80" s="366" t="str">
        <f>'1. HVAC Design Review'!$B$50&amp;'1. HVAC Design Review'!$B$51&amp;"Zone 3"&amp;"_Field"</f>
        <v>Window Area of Heating / Cooling ZonesHVAC DesignZone 3_Field</v>
      </c>
      <c r="D80" s="97">
        <f>'1. HVAC Design Review'!P51</f>
        <v>0</v>
      </c>
      <c r="E80" s="141" t="str">
        <f>'1. HVAC Design Review'!$R$52</f>
        <v xml:space="preserve">Sq. Ft. </v>
      </c>
      <c r="F80" s="141" t="str">
        <f>'1. HVAC Design Review'!$S$50</f>
        <v>4.3.2.4</v>
      </c>
      <c r="G80"/>
      <c r="H80"/>
      <c r="I80"/>
      <c r="J80"/>
      <c r="K80"/>
      <c r="L80"/>
      <c r="M80"/>
      <c r="N80"/>
      <c r="O80"/>
      <c r="P80"/>
      <c r="Q80"/>
      <c r="R80"/>
      <c r="S80"/>
      <c r="T80"/>
      <c r="U80"/>
      <c r="V80"/>
      <c r="W80"/>
      <c r="X80"/>
      <c r="Y80"/>
      <c r="Z80"/>
      <c r="AA80"/>
      <c r="AB80"/>
    </row>
    <row r="81" spans="2:28" s="193" customFormat="1" x14ac:dyDescent="0.25">
      <c r="B81" s="199" t="str">
        <f t="shared" ca="1" si="1"/>
        <v>1. HVAC Design Review</v>
      </c>
      <c r="C81" s="366" t="str">
        <f>'1. HVAC Design Review'!$B$50&amp;'1. HVAC Design Review'!$B$52&amp;"Zone 3"&amp;"_Field"</f>
        <v>Window Area of Heating / Cooling ZonesHomeZone 3_Field</v>
      </c>
      <c r="D81" s="97">
        <f>'1. HVAC Design Review'!P52</f>
        <v>0</v>
      </c>
      <c r="E81" s="141" t="str">
        <f>'1. HVAC Design Review'!$R$52</f>
        <v xml:space="preserve">Sq. Ft. </v>
      </c>
      <c r="F81" s="141" t="str">
        <f>'1. HVAC Design Review'!$S$50</f>
        <v>4.3.2.4</v>
      </c>
      <c r="H81"/>
      <c r="I81"/>
      <c r="J81"/>
      <c r="K81"/>
      <c r="L81"/>
      <c r="M81"/>
      <c r="N81"/>
      <c r="O81"/>
      <c r="P81"/>
      <c r="Q81"/>
      <c r="R81"/>
      <c r="S81"/>
      <c r="T81"/>
      <c r="U81"/>
      <c r="V81"/>
      <c r="W81"/>
      <c r="X81"/>
      <c r="Y81"/>
      <c r="Z81"/>
      <c r="AA81"/>
      <c r="AB81" s="191"/>
    </row>
    <row r="82" spans="2:28" s="193" customFormat="1" x14ac:dyDescent="0.25">
      <c r="B82" s="199" t="str">
        <f t="shared" ca="1" si="1"/>
        <v>1. HVAC Design Review</v>
      </c>
      <c r="C82" s="366" t="str">
        <f>'1. HVAC Design Review'!$B$50&amp;'1. HVAC Design Review'!$B$53&amp;"Zone 3"&amp;"_Field"</f>
        <v>Window Area of Heating / Cooling ZonesHome is less than or equal to HVAC design?Zone 3_Field</v>
      </c>
      <c r="D82" s="141" t="str">
        <f>'1. HVAC Design Review'!P53</f>
        <v>Yes</v>
      </c>
      <c r="E82" s="141" t="str">
        <f>'1. HVAC Design Review'!$R$52</f>
        <v xml:space="preserve">Sq. Ft. </v>
      </c>
      <c r="F82" s="141" t="str">
        <f>'1. HVAC Design Review'!$S$50</f>
        <v>4.3.2.4</v>
      </c>
      <c r="H82"/>
      <c r="I82"/>
      <c r="J82"/>
      <c r="K82"/>
      <c r="L82"/>
      <c r="M82"/>
      <c r="N82"/>
      <c r="O82"/>
      <c r="P82"/>
      <c r="Q82"/>
      <c r="R82"/>
      <c r="S82"/>
      <c r="T82"/>
      <c r="U82"/>
      <c r="V82"/>
      <c r="W82"/>
      <c r="X82"/>
      <c r="Y82"/>
      <c r="Z82"/>
      <c r="AA82"/>
      <c r="AB82" s="191"/>
    </row>
    <row r="83" spans="2:28" s="193" customFormat="1" x14ac:dyDescent="0.25">
      <c r="B83" s="199" t="str">
        <f t="shared" ca="1" si="1"/>
        <v>1. HVAC Design Review</v>
      </c>
      <c r="C83" s="199" t="str">
        <f>'1. HVAC Design Review'!$B$56&amp;"_Field"</f>
        <v>Does the Home location (e.g., top, middle, bottom floor; corner or middle unit) match the HVAC design, or is the location of the HVAC Design a top floor and corner unit?_Field</v>
      </c>
      <c r="D83" s="96" t="str">
        <f>'1. HVAC Design Review'!P56</f>
        <v>Yes</v>
      </c>
      <c r="E83" s="141"/>
      <c r="F83" s="141" t="str">
        <f>'1. HVAC Design Review'!$S$56</f>
        <v>4.3.2.5</v>
      </c>
      <c r="H83"/>
      <c r="I83"/>
      <c r="J83"/>
      <c r="K83"/>
      <c r="L83"/>
      <c r="M83"/>
      <c r="N83"/>
      <c r="O83"/>
      <c r="P83"/>
      <c r="Q83"/>
      <c r="R83"/>
      <c r="S83"/>
      <c r="T83"/>
      <c r="U83"/>
      <c r="V83"/>
      <c r="W83"/>
      <c r="X83"/>
      <c r="Y83"/>
      <c r="Z83"/>
      <c r="AA83"/>
      <c r="AB83" s="191"/>
    </row>
    <row r="84" spans="2:28" s="193" customFormat="1" x14ac:dyDescent="0.25">
      <c r="B84" s="199" t="str">
        <f t="shared" ca="1" si="1"/>
        <v>1. HVAC Design Review</v>
      </c>
      <c r="C84" s="199" t="str">
        <f>'1. HVAC Design Review'!$B$58&amp;"_Field"</f>
        <v>Have orientation-specific total heat gains been documented for all eight orientations?_Field</v>
      </c>
      <c r="D84" s="141" t="str">
        <f>'1. HVAC Design Review'!P58</f>
        <v>Yes</v>
      </c>
      <c r="E84" s="141"/>
      <c r="F84" s="141" t="str">
        <f>'1. HVAC Design Review'!$S$58</f>
        <v>4.3.2.6</v>
      </c>
      <c r="H84"/>
      <c r="I84"/>
      <c r="J84"/>
      <c r="K84"/>
      <c r="L84"/>
      <c r="M84"/>
      <c r="N84"/>
      <c r="O84"/>
      <c r="P84"/>
      <c r="Q84"/>
      <c r="R84"/>
      <c r="S84"/>
      <c r="T84"/>
      <c r="U84"/>
      <c r="V84"/>
      <c r="W84"/>
      <c r="X84"/>
      <c r="Y84"/>
      <c r="Z84"/>
      <c r="AA84"/>
      <c r="AB84" s="191"/>
    </row>
    <row r="85" spans="2:28" s="193" customFormat="1" x14ac:dyDescent="0.25">
      <c r="B85" s="199" t="str">
        <f t="shared" ca="1" si="1"/>
        <v>1. HVAC Design Review</v>
      </c>
      <c r="C85" s="199" t="str">
        <f>'1. HVAC Design Review'!$A$60&amp;'1. HVAC Design Review'!$N$60</f>
        <v>For A Dwelling / Sleeping Unit in a Multifamily Building w/ Heat Gain &gt;18 kBTUh or Heat Loss &gt;35 kBTUhComplete this section?</v>
      </c>
      <c r="D85" s="97" t="str">
        <f>'1. HVAC Design Review'!P60</f>
        <v>No</v>
      </c>
      <c r="E85" s="141"/>
      <c r="F85" s="141"/>
      <c r="H85"/>
      <c r="I85"/>
      <c r="J85"/>
      <c r="K85"/>
      <c r="L85"/>
      <c r="M85"/>
      <c r="N85"/>
      <c r="O85"/>
      <c r="P85"/>
      <c r="Q85"/>
      <c r="R85"/>
      <c r="S85"/>
      <c r="T85"/>
      <c r="U85"/>
      <c r="V85"/>
      <c r="W85"/>
      <c r="X85"/>
      <c r="Y85"/>
      <c r="Z85"/>
      <c r="AA85"/>
      <c r="AB85" s="191"/>
    </row>
    <row r="86" spans="2:28" s="193" customFormat="1" x14ac:dyDescent="0.25">
      <c r="B86" s="199" t="str">
        <f t="shared" ca="1" si="1"/>
        <v>1. HVAC Design Review</v>
      </c>
      <c r="C86" s="199" t="str">
        <f>'1. HVAC Design Review'!$A$60&amp;'1. HVAC Design Review'!$O$61</f>
        <v xml:space="preserve">For A Dwelling / Sleeping Unit in a Multifamily Building w/ Heat Gain &gt;18 kBTUh or Heat Loss &gt;35 kBTUhRequired data inputs provided? </v>
      </c>
      <c r="D86" s="97" t="str">
        <f>'1. HVAC Design Review'!P61</f>
        <v>N/A</v>
      </c>
      <c r="E86" s="141"/>
      <c r="F86" s="141"/>
      <c r="H86"/>
      <c r="I86"/>
      <c r="J86"/>
      <c r="K86"/>
      <c r="L86"/>
      <c r="M86"/>
      <c r="N86"/>
      <c r="O86"/>
      <c r="P86"/>
      <c r="Q86"/>
      <c r="R86"/>
      <c r="S86"/>
      <c r="T86"/>
      <c r="U86"/>
      <c r="V86"/>
      <c r="W86"/>
      <c r="X86"/>
      <c r="Y86"/>
      <c r="Z86"/>
      <c r="AA86"/>
      <c r="AB86" s="191"/>
    </row>
    <row r="87" spans="2:28" s="193" customFormat="1" x14ac:dyDescent="0.25">
      <c r="B87" s="199" t="str">
        <f t="shared" ca="1" si="1"/>
        <v>1. HVAC Design Review</v>
      </c>
      <c r="C87" s="361" t="str">
        <f>'1. HVAC Design Review'!$B$64</f>
        <v>Does the unique identifier for the building that the Home is in match the HVAC design?</v>
      </c>
      <c r="D87" s="96" t="str">
        <f>'1. HVAC Design Review'!K64</f>
        <v>Yes</v>
      </c>
      <c r="E87" s="141"/>
      <c r="F87" s="141" t="str">
        <f>'1. HVAC Design Review'!$S$64</f>
        <v>4.3.3.1</v>
      </c>
      <c r="H87"/>
      <c r="I87"/>
      <c r="J87"/>
      <c r="K87"/>
      <c r="L87"/>
      <c r="M87"/>
      <c r="N87"/>
      <c r="O87"/>
      <c r="P87"/>
      <c r="Q87"/>
      <c r="R87"/>
      <c r="S87"/>
      <c r="T87"/>
      <c r="U87"/>
      <c r="V87"/>
      <c r="W87"/>
      <c r="X87"/>
      <c r="Y87"/>
      <c r="Z87"/>
      <c r="AA87"/>
      <c r="AB87" s="191"/>
    </row>
    <row r="88" spans="2:28" s="193" customFormat="1" x14ac:dyDescent="0.25">
      <c r="B88" s="199" t="str">
        <f t="shared" ca="1" si="1"/>
        <v>1. HVAC Design Review</v>
      </c>
      <c r="C88" s="361" t="str">
        <f>'1. HVAC Design Review'!$B$65</f>
        <v>Does the name of the plan for the Home match the HVAC design?</v>
      </c>
      <c r="D88" s="96" t="str">
        <f>'1. HVAC Design Review'!K65</f>
        <v>Yes</v>
      </c>
      <c r="E88" s="141"/>
      <c r="F88" s="141" t="str">
        <f>'1. HVAC Design Review'!$S$65</f>
        <v>4.3.3.2</v>
      </c>
      <c r="H88"/>
      <c r="I88"/>
      <c r="J88"/>
      <c r="K88"/>
      <c r="L88"/>
      <c r="M88"/>
      <c r="N88"/>
      <c r="O88"/>
      <c r="P88"/>
      <c r="Q88"/>
      <c r="R88"/>
      <c r="S88"/>
      <c r="T88"/>
      <c r="U88"/>
      <c r="V88"/>
      <c r="W88"/>
      <c r="X88"/>
      <c r="Y88"/>
      <c r="Z88"/>
      <c r="AA88"/>
      <c r="AB88" s="191"/>
    </row>
    <row r="89" spans="2:28" s="193" customFormat="1" x14ac:dyDescent="0.25">
      <c r="B89" s="199" t="str">
        <f t="shared" ca="1" si="1"/>
        <v>1. HVAC Design Review</v>
      </c>
      <c r="C89" s="199" t="str">
        <f>'1. HVAC Design Review'!$B$66</f>
        <v>Do the options used in the Home match those in the HVAC design, 
or are they listed in the options the HVAC design can be used with?</v>
      </c>
      <c r="D89" s="96" t="str">
        <f>'1. HVAC Design Review'!K66</f>
        <v>Yes</v>
      </c>
      <c r="E89" s="141"/>
      <c r="F89" s="141" t="str">
        <f>'1. HVAC Design Review'!$S$66</f>
        <v>4.3.3.3</v>
      </c>
      <c r="H89"/>
      <c r="I89"/>
      <c r="J89"/>
      <c r="K89"/>
      <c r="L89"/>
      <c r="M89"/>
      <c r="N89"/>
      <c r="O89"/>
      <c r="P89"/>
      <c r="Q89"/>
      <c r="R89"/>
      <c r="S89"/>
      <c r="T89"/>
      <c r="U89"/>
      <c r="V89"/>
      <c r="W89"/>
      <c r="X89"/>
      <c r="Y89"/>
      <c r="Z89"/>
      <c r="AA89"/>
      <c r="AB89" s="191"/>
    </row>
    <row r="90" spans="2:28" s="193" customFormat="1" x14ac:dyDescent="0.25">
      <c r="B90" s="199" t="str">
        <f t="shared" ca="1" si="1"/>
        <v>1. HVAC Design Review</v>
      </c>
      <c r="C90" s="366" t="str">
        <f>'1. HVAC Design Review'!$B$20&amp;'1. HVAC Design Review'!$B$21&amp;"Zone 1"&amp;"_Plan"</f>
        <v>Conditioned Floor Area of Heating / Cooling ZonesHVAC DesignZone 1_Plan</v>
      </c>
      <c r="D90" s="97">
        <f>'1. HVAC Design Review'!I70</f>
        <v>0</v>
      </c>
      <c r="E90" s="141" t="str">
        <f>'1. HVAC Design Review'!$R$70</f>
        <v xml:space="preserve">Sq. Ft. </v>
      </c>
      <c r="F90" s="141" t="str">
        <f>'1. HVAC Design Review'!$S$69</f>
        <v>4.3.3.4</v>
      </c>
      <c r="H90"/>
      <c r="I90"/>
      <c r="J90"/>
      <c r="K90"/>
      <c r="L90"/>
      <c r="M90"/>
      <c r="N90"/>
      <c r="O90"/>
      <c r="P90"/>
      <c r="Q90"/>
      <c r="R90"/>
      <c r="S90"/>
      <c r="T90"/>
      <c r="U90"/>
      <c r="V90"/>
      <c r="W90"/>
      <c r="X90"/>
      <c r="Y90"/>
      <c r="Z90"/>
      <c r="AA90"/>
      <c r="AB90" s="191"/>
    </row>
    <row r="91" spans="2:28" s="193" customFormat="1" x14ac:dyDescent="0.25">
      <c r="B91" s="199" t="str">
        <f t="shared" ca="1" si="1"/>
        <v>1. HVAC Design Review</v>
      </c>
      <c r="C91" s="366" t="str">
        <f>'1. HVAC Design Review'!$B$20&amp;'1. HVAC Design Review'!$B$22&amp;"Zone 1"&amp;"_Plan"</f>
        <v>Conditioned Floor Area of Heating / Cooling ZonesHomeZone 1_Plan</v>
      </c>
      <c r="D91" s="97">
        <f>'1. HVAC Design Review'!I71</f>
        <v>0</v>
      </c>
      <c r="E91" s="141" t="str">
        <f>'1. HVAC Design Review'!$R$71</f>
        <v xml:space="preserve">Sq. Ft. </v>
      </c>
      <c r="F91" s="141" t="str">
        <f>'1. HVAC Design Review'!$S$69</f>
        <v>4.3.3.4</v>
      </c>
      <c r="H91"/>
      <c r="I91"/>
      <c r="J91"/>
      <c r="K91"/>
      <c r="L91"/>
      <c r="M91"/>
      <c r="N91"/>
      <c r="O91"/>
      <c r="P91"/>
      <c r="Q91"/>
      <c r="R91"/>
      <c r="S91"/>
      <c r="T91"/>
      <c r="U91"/>
      <c r="V91"/>
      <c r="W91"/>
      <c r="X91"/>
      <c r="Y91"/>
      <c r="Z91"/>
      <c r="AA91"/>
      <c r="AB91" s="191"/>
    </row>
    <row r="92" spans="2:28" s="193" customFormat="1" x14ac:dyDescent="0.25">
      <c r="B92" s="199" t="str">
        <f t="shared" ca="1" si="1"/>
        <v>1. HVAC Design Review</v>
      </c>
      <c r="C92" s="366" t="str">
        <f>'1. HVAC Design Review'!$B$20&amp;'1. HVAC Design Review'!$B$23&amp;"Zone 1"&amp;"_Plan"</f>
        <v>Conditioned Floor Area of Heating / Cooling ZonesHome is between 300 sq. ft. smaller &amp; 100 sq. ft.  larger than HVAC design?Zone 1_Plan</v>
      </c>
      <c r="D92" s="141" t="str">
        <f>'1. HVAC Design Review'!I72</f>
        <v>Yes</v>
      </c>
      <c r="E92" s="141"/>
      <c r="F92" s="141" t="str">
        <f>'1. HVAC Design Review'!$S$69</f>
        <v>4.3.3.4</v>
      </c>
      <c r="H92"/>
      <c r="I92"/>
      <c r="J92"/>
      <c r="K92"/>
      <c r="L92"/>
      <c r="M92"/>
      <c r="N92"/>
      <c r="O92"/>
      <c r="P92"/>
      <c r="Q92"/>
      <c r="R92"/>
      <c r="S92"/>
      <c r="T92"/>
      <c r="U92"/>
      <c r="V92"/>
      <c r="W92"/>
      <c r="X92"/>
      <c r="Y92"/>
      <c r="Z92"/>
      <c r="AA92"/>
      <c r="AB92" s="191"/>
    </row>
    <row r="93" spans="2:28" s="193" customFormat="1" x14ac:dyDescent="0.25">
      <c r="B93" s="199" t="str">
        <f t="shared" ca="1" si="1"/>
        <v>1. HVAC Design Review</v>
      </c>
      <c r="C93" s="366" t="str">
        <f>'1. HVAC Design Review'!$B$20&amp;'1. HVAC Design Review'!$B$21&amp;"Zone 2"&amp;"_Plan"</f>
        <v>Conditioned Floor Area of Heating / Cooling ZonesHVAC DesignZone 2_Plan</v>
      </c>
      <c r="D93" s="97">
        <f>'1. HVAC Design Review'!J70</f>
        <v>0</v>
      </c>
      <c r="E93" s="141" t="str">
        <f>'1. HVAC Design Review'!$R$70</f>
        <v xml:space="preserve">Sq. Ft. </v>
      </c>
      <c r="F93" s="141" t="str">
        <f>'1. HVAC Design Review'!$S$69</f>
        <v>4.3.3.4</v>
      </c>
      <c r="H93"/>
      <c r="I93"/>
      <c r="J93"/>
      <c r="K93"/>
      <c r="L93"/>
      <c r="M93"/>
      <c r="N93"/>
      <c r="O93"/>
      <c r="P93"/>
      <c r="Q93"/>
      <c r="R93"/>
      <c r="S93"/>
      <c r="T93"/>
      <c r="U93"/>
      <c r="V93"/>
      <c r="W93"/>
      <c r="X93"/>
      <c r="Y93"/>
      <c r="Z93"/>
      <c r="AA93"/>
      <c r="AB93" s="191"/>
    </row>
    <row r="94" spans="2:28" s="193" customFormat="1" x14ac:dyDescent="0.25">
      <c r="B94" s="199" t="str">
        <f t="shared" ca="1" si="1"/>
        <v>1. HVAC Design Review</v>
      </c>
      <c r="C94" s="366" t="str">
        <f>'1. HVAC Design Review'!$B$20&amp;'1. HVAC Design Review'!$B$22&amp;"Zone 2"&amp;"_Plan"</f>
        <v>Conditioned Floor Area of Heating / Cooling ZonesHomeZone 2_Plan</v>
      </c>
      <c r="D94" s="97">
        <f>'1. HVAC Design Review'!J71</f>
        <v>0</v>
      </c>
      <c r="E94" s="141" t="str">
        <f>'1. HVAC Design Review'!$R$71</f>
        <v xml:space="preserve">Sq. Ft. </v>
      </c>
      <c r="F94" s="141" t="str">
        <f>'1. HVAC Design Review'!$S$69</f>
        <v>4.3.3.4</v>
      </c>
      <c r="H94"/>
      <c r="I94"/>
      <c r="J94"/>
      <c r="K94"/>
      <c r="L94"/>
      <c r="M94"/>
      <c r="N94"/>
      <c r="O94"/>
      <c r="P94"/>
      <c r="Q94"/>
      <c r="R94"/>
      <c r="S94"/>
      <c r="T94"/>
      <c r="U94"/>
      <c r="V94"/>
      <c r="W94"/>
      <c r="X94"/>
      <c r="Y94"/>
      <c r="Z94"/>
      <c r="AA94"/>
      <c r="AB94" s="191"/>
    </row>
    <row r="95" spans="2:28" s="193" customFormat="1" x14ac:dyDescent="0.25">
      <c r="B95" s="199" t="str">
        <f t="shared" ca="1" si="1"/>
        <v>1. HVAC Design Review</v>
      </c>
      <c r="C95" s="366" t="str">
        <f>'1. HVAC Design Review'!$B$20&amp;'1. HVAC Design Review'!$B$23&amp;"Zone 2"&amp;"_Plan"</f>
        <v>Conditioned Floor Area of Heating / Cooling ZonesHome is between 300 sq. ft. smaller &amp; 100 sq. ft.  larger than HVAC design?Zone 2_Plan</v>
      </c>
      <c r="D95" s="141" t="str">
        <f>'1. HVAC Design Review'!J72</f>
        <v>Yes</v>
      </c>
      <c r="E95" s="141"/>
      <c r="F95" s="141" t="str">
        <f>'1. HVAC Design Review'!$S$69</f>
        <v>4.3.3.4</v>
      </c>
      <c r="H95"/>
      <c r="I95"/>
      <c r="J95"/>
      <c r="K95"/>
      <c r="L95"/>
      <c r="M95"/>
      <c r="N95"/>
      <c r="O95"/>
      <c r="P95"/>
      <c r="Q95"/>
      <c r="R95"/>
      <c r="S95"/>
      <c r="T95"/>
      <c r="U95"/>
      <c r="V95"/>
      <c r="W95"/>
      <c r="X95"/>
      <c r="Y95"/>
      <c r="Z95"/>
      <c r="AA95"/>
      <c r="AB95" s="191"/>
    </row>
    <row r="96" spans="2:28" s="193" customFormat="1" x14ac:dyDescent="0.25">
      <c r="B96" s="199" t="str">
        <f t="shared" ca="1" si="1"/>
        <v>1. HVAC Design Review</v>
      </c>
      <c r="C96" s="366" t="str">
        <f>'1. HVAC Design Review'!$B$20&amp;'1. HVAC Design Review'!$B$21&amp;"Zone 3"&amp;"_Plan"</f>
        <v>Conditioned Floor Area of Heating / Cooling ZonesHVAC DesignZone 3_Plan</v>
      </c>
      <c r="D96" s="97">
        <f>'1. HVAC Design Review'!K70</f>
        <v>0</v>
      </c>
      <c r="E96" s="141" t="str">
        <f>'1. HVAC Design Review'!$R$70</f>
        <v xml:space="preserve">Sq. Ft. </v>
      </c>
      <c r="F96" s="141" t="str">
        <f>'1. HVAC Design Review'!$S$69</f>
        <v>4.3.3.4</v>
      </c>
      <c r="H96"/>
      <c r="I96"/>
      <c r="J96"/>
      <c r="K96"/>
      <c r="L96"/>
      <c r="M96"/>
      <c r="N96"/>
      <c r="O96"/>
      <c r="P96"/>
      <c r="Q96"/>
      <c r="R96"/>
      <c r="S96"/>
      <c r="T96"/>
      <c r="U96"/>
      <c r="V96"/>
      <c r="W96"/>
      <c r="X96"/>
      <c r="Y96"/>
      <c r="Z96"/>
      <c r="AA96"/>
      <c r="AB96" s="191"/>
    </row>
    <row r="97" spans="2:28" s="193" customFormat="1" x14ac:dyDescent="0.25">
      <c r="B97" s="199" t="str">
        <f t="shared" ca="1" si="1"/>
        <v>1. HVAC Design Review</v>
      </c>
      <c r="C97" s="366" t="str">
        <f>'1. HVAC Design Review'!$B$20&amp;'1. HVAC Design Review'!$B$22&amp;"Zone 3"&amp;"_Plan"</f>
        <v>Conditioned Floor Area of Heating / Cooling ZonesHomeZone 3_Plan</v>
      </c>
      <c r="D97" s="97">
        <f>'1. HVAC Design Review'!K71</f>
        <v>0</v>
      </c>
      <c r="E97" s="141" t="str">
        <f>'1. HVAC Design Review'!$R$71</f>
        <v xml:space="preserve">Sq. Ft. </v>
      </c>
      <c r="F97" s="141" t="str">
        <f>'1. HVAC Design Review'!$S$69</f>
        <v>4.3.3.4</v>
      </c>
      <c r="H97"/>
      <c r="I97"/>
      <c r="J97"/>
      <c r="K97"/>
      <c r="L97"/>
      <c r="M97"/>
      <c r="N97"/>
      <c r="O97"/>
      <c r="P97"/>
      <c r="Q97"/>
      <c r="R97"/>
      <c r="S97"/>
      <c r="T97"/>
      <c r="U97"/>
      <c r="V97"/>
      <c r="W97"/>
      <c r="X97"/>
      <c r="Y97"/>
      <c r="Z97"/>
      <c r="AA97"/>
      <c r="AB97" s="191"/>
    </row>
    <row r="98" spans="2:28" s="193" customFormat="1" x14ac:dyDescent="0.25">
      <c r="B98" s="199" t="str">
        <f t="shared" ca="1" si="1"/>
        <v>1. HVAC Design Review</v>
      </c>
      <c r="C98" s="366" t="str">
        <f>'1. HVAC Design Review'!$B$20&amp;'1. HVAC Design Review'!$B$23&amp;"Zone 3"&amp;"_Plan"</f>
        <v>Conditioned Floor Area of Heating / Cooling ZonesHome is between 300 sq. ft. smaller &amp; 100 sq. ft.  larger than HVAC design?Zone 3_Plan</v>
      </c>
      <c r="D98" s="141" t="str">
        <f>'1. HVAC Design Review'!K72</f>
        <v>Yes</v>
      </c>
      <c r="E98" s="141"/>
      <c r="F98" s="141" t="str">
        <f>'1. HVAC Design Review'!$S$69</f>
        <v>4.3.3.4</v>
      </c>
      <c r="H98"/>
      <c r="I98"/>
      <c r="J98"/>
      <c r="K98"/>
      <c r="L98"/>
      <c r="M98"/>
      <c r="N98"/>
      <c r="O98"/>
      <c r="P98"/>
      <c r="Q98"/>
      <c r="R98"/>
      <c r="S98"/>
      <c r="T98"/>
      <c r="U98"/>
      <c r="V98"/>
      <c r="W98"/>
      <c r="X98"/>
      <c r="Y98"/>
      <c r="Z98"/>
      <c r="AA98"/>
      <c r="AB98" s="191"/>
    </row>
    <row r="99" spans="2:28" s="193" customFormat="1" x14ac:dyDescent="0.25">
      <c r="B99" s="199" t="str">
        <f t="shared" ca="1" si="1"/>
        <v>1. HVAC Design Review</v>
      </c>
      <c r="C99" s="366" t="str">
        <f>'1. HVAC Design Review'!$B$25&amp;'1. HVAC Design Review'!$B$26&amp;"Zone 1"&amp;"_Plan"</f>
        <v>Window Area of Heating / Cooling ZonesHVAC DesignZone 1_Plan</v>
      </c>
      <c r="D99" s="97">
        <f>'1. HVAC Design Review'!I75</f>
        <v>0</v>
      </c>
      <c r="E99" s="141" t="str">
        <f>'1. HVAC Design Review'!$R$75</f>
        <v xml:space="preserve">Sq. Ft. </v>
      </c>
      <c r="F99" s="141" t="str">
        <f>'1. HVAC Design Review'!$S$74</f>
        <v>4.3.3.5</v>
      </c>
      <c r="H99"/>
      <c r="I99"/>
      <c r="J99"/>
      <c r="K99"/>
      <c r="L99"/>
      <c r="M99"/>
      <c r="N99"/>
      <c r="O99"/>
      <c r="P99"/>
      <c r="Q99"/>
      <c r="R99"/>
      <c r="S99"/>
      <c r="T99"/>
      <c r="U99"/>
      <c r="V99"/>
      <c r="W99"/>
      <c r="X99"/>
      <c r="Y99"/>
      <c r="Z99"/>
      <c r="AA99"/>
      <c r="AB99" s="191"/>
    </row>
    <row r="100" spans="2:28" s="193" customFormat="1" x14ac:dyDescent="0.25">
      <c r="B100" s="199" t="str">
        <f t="shared" ca="1" si="1"/>
        <v>1. HVAC Design Review</v>
      </c>
      <c r="C100" s="366" t="str">
        <f>'1. HVAC Design Review'!$B$25&amp;'1. HVAC Design Review'!$B$22&amp;"Zone 1"&amp;"_Plan"</f>
        <v>Window Area of Heating / Cooling ZonesHomeZone 1_Plan</v>
      </c>
      <c r="D100" s="97">
        <f>'1. HVAC Design Review'!I76</f>
        <v>0</v>
      </c>
      <c r="E100" s="141" t="str">
        <f>'1. HVAC Design Review'!$R$76</f>
        <v xml:space="preserve">Sq. Ft. </v>
      </c>
      <c r="F100" s="141" t="str">
        <f>'1. HVAC Design Review'!$S$74</f>
        <v>4.3.3.5</v>
      </c>
      <c r="H100"/>
      <c r="I100"/>
      <c r="J100"/>
      <c r="K100"/>
      <c r="L100"/>
      <c r="M100"/>
      <c r="N100"/>
      <c r="O100"/>
      <c r="P100"/>
      <c r="Q100"/>
      <c r="R100"/>
      <c r="S100"/>
      <c r="T100"/>
      <c r="U100"/>
      <c r="V100"/>
      <c r="W100"/>
      <c r="X100"/>
      <c r="Y100"/>
      <c r="Z100"/>
      <c r="AA100"/>
      <c r="AB100" s="191"/>
    </row>
    <row r="101" spans="2:28" s="193" customFormat="1" x14ac:dyDescent="0.25">
      <c r="B101" s="199" t="str">
        <f t="shared" ca="1" si="1"/>
        <v>1. HVAC Design Review</v>
      </c>
      <c r="C101" s="366" t="str">
        <f>'1. HVAC Design Review'!$B$25&amp;'1. HVAC Design Review'!$B$77&amp;"Zone 1"&amp;"_Plan"</f>
        <v>Window Area of Heating / Cooling ZonesHome is between 60 sq. ft. smaller &amp; 15 sq. ft. larger than HVAC design, 
or for zones with &gt; 500 sq. ft. of windows, between 12% smaller and 3% larger?Zone 1_Plan</v>
      </c>
      <c r="D101" s="141" t="str">
        <f>'1. HVAC Design Review'!I77</f>
        <v>Yes</v>
      </c>
      <c r="E101" s="141"/>
      <c r="F101" s="141" t="str">
        <f>'1. HVAC Design Review'!$S$74</f>
        <v>4.3.3.5</v>
      </c>
      <c r="H101"/>
      <c r="I101"/>
      <c r="J101"/>
      <c r="K101"/>
      <c r="L101"/>
      <c r="M101"/>
      <c r="N101"/>
      <c r="O101"/>
      <c r="P101"/>
      <c r="Q101"/>
      <c r="R101"/>
      <c r="S101"/>
      <c r="T101"/>
      <c r="U101"/>
      <c r="V101"/>
      <c r="W101"/>
      <c r="X101"/>
      <c r="Y101"/>
      <c r="Z101"/>
      <c r="AA101"/>
      <c r="AB101" s="191"/>
    </row>
    <row r="102" spans="2:28" s="193" customFormat="1" x14ac:dyDescent="0.25">
      <c r="B102" s="199" t="str">
        <f t="shared" ca="1" si="1"/>
        <v>1. HVAC Design Review</v>
      </c>
      <c r="C102" s="366" t="str">
        <f>'1. HVAC Design Review'!$B$25&amp;'1. HVAC Design Review'!$B$26&amp;"Zone 2"&amp;"_Plan"</f>
        <v>Window Area of Heating / Cooling ZonesHVAC DesignZone 2_Plan</v>
      </c>
      <c r="D102" s="97">
        <f>'1. HVAC Design Review'!J75</f>
        <v>0</v>
      </c>
      <c r="E102" s="141" t="str">
        <f>'1. HVAC Design Review'!$R$75</f>
        <v xml:space="preserve">Sq. Ft. </v>
      </c>
      <c r="F102" s="141" t="str">
        <f>'1. HVAC Design Review'!$S$74</f>
        <v>4.3.3.5</v>
      </c>
      <c r="H102"/>
      <c r="I102"/>
      <c r="J102"/>
      <c r="K102"/>
      <c r="L102"/>
      <c r="M102"/>
      <c r="N102"/>
      <c r="O102"/>
      <c r="P102"/>
      <c r="Q102"/>
      <c r="R102"/>
      <c r="S102"/>
      <c r="T102"/>
      <c r="U102"/>
      <c r="V102"/>
      <c r="W102"/>
      <c r="X102"/>
      <c r="Y102"/>
      <c r="Z102"/>
      <c r="AA102"/>
      <c r="AB102" s="191"/>
    </row>
    <row r="103" spans="2:28" s="193" customFormat="1" x14ac:dyDescent="0.25">
      <c r="B103" s="199" t="str">
        <f t="shared" ca="1" si="1"/>
        <v>1. HVAC Design Review</v>
      </c>
      <c r="C103" s="366" t="str">
        <f>'1. HVAC Design Review'!$B$25&amp;'1. HVAC Design Review'!$B$22&amp;"Zone 2"&amp;"_Plan"</f>
        <v>Window Area of Heating / Cooling ZonesHomeZone 2_Plan</v>
      </c>
      <c r="D103" s="97">
        <f>'1. HVAC Design Review'!J76</f>
        <v>0</v>
      </c>
      <c r="E103" s="141" t="str">
        <f>'1. HVAC Design Review'!$R$76</f>
        <v xml:space="preserve">Sq. Ft. </v>
      </c>
      <c r="F103" s="141" t="str">
        <f>'1. HVAC Design Review'!$S$74</f>
        <v>4.3.3.5</v>
      </c>
      <c r="H103"/>
      <c r="I103"/>
      <c r="J103"/>
      <c r="K103"/>
      <c r="L103"/>
      <c r="M103"/>
      <c r="N103"/>
      <c r="O103"/>
      <c r="P103"/>
      <c r="Q103"/>
      <c r="R103"/>
      <c r="S103"/>
      <c r="T103"/>
      <c r="U103"/>
      <c r="V103"/>
      <c r="W103"/>
      <c r="X103"/>
      <c r="Y103"/>
      <c r="Z103"/>
      <c r="AA103"/>
      <c r="AB103" s="191"/>
    </row>
    <row r="104" spans="2:28" s="193" customFormat="1" x14ac:dyDescent="0.25">
      <c r="B104" s="199" t="str">
        <f t="shared" ca="1" si="1"/>
        <v>1. HVAC Design Review</v>
      </c>
      <c r="C104" s="366" t="str">
        <f>'1. HVAC Design Review'!$B$25&amp;'1. HVAC Design Review'!$B$77&amp;"Zone 2"&amp;"_Plan"</f>
        <v>Window Area of Heating / Cooling ZonesHome is between 60 sq. ft. smaller &amp; 15 sq. ft. larger than HVAC design, 
or for zones with &gt; 500 sq. ft. of windows, between 12% smaller and 3% larger?Zone 2_Plan</v>
      </c>
      <c r="D104" s="141" t="str">
        <f>'1. HVAC Design Review'!J77</f>
        <v>Yes</v>
      </c>
      <c r="E104" s="141"/>
      <c r="F104" s="141" t="str">
        <f>'1. HVAC Design Review'!$S$74</f>
        <v>4.3.3.5</v>
      </c>
      <c r="H104"/>
      <c r="I104"/>
      <c r="J104"/>
      <c r="K104"/>
      <c r="L104"/>
      <c r="M104"/>
      <c r="N104"/>
      <c r="O104"/>
      <c r="P104"/>
      <c r="Q104"/>
      <c r="R104"/>
      <c r="S104"/>
      <c r="T104"/>
      <c r="U104"/>
      <c r="V104"/>
      <c r="W104"/>
      <c r="X104"/>
      <c r="Y104"/>
      <c r="Z104"/>
      <c r="AA104"/>
      <c r="AB104" s="191"/>
    </row>
    <row r="105" spans="2:28" s="193" customFormat="1" x14ac:dyDescent="0.25">
      <c r="B105" s="199" t="str">
        <f t="shared" ca="1" si="1"/>
        <v>1. HVAC Design Review</v>
      </c>
      <c r="C105" s="366" t="str">
        <f>'1. HVAC Design Review'!$B$25&amp;'1. HVAC Design Review'!$B$26&amp;"Zone 3"&amp;"_Plan"</f>
        <v>Window Area of Heating / Cooling ZonesHVAC DesignZone 3_Plan</v>
      </c>
      <c r="D105" s="97">
        <f>'1. HVAC Design Review'!K75</f>
        <v>0</v>
      </c>
      <c r="E105" s="141" t="str">
        <f>'1. HVAC Design Review'!$R$75</f>
        <v xml:space="preserve">Sq. Ft. </v>
      </c>
      <c r="F105" s="141" t="str">
        <f>'1. HVAC Design Review'!$S$74</f>
        <v>4.3.3.5</v>
      </c>
      <c r="H105"/>
      <c r="I105"/>
      <c r="J105"/>
      <c r="K105"/>
      <c r="L105"/>
      <c r="M105"/>
      <c r="N105"/>
      <c r="O105"/>
      <c r="P105"/>
      <c r="Q105"/>
      <c r="R105"/>
      <c r="S105"/>
      <c r="T105"/>
      <c r="U105"/>
      <c r="V105"/>
      <c r="W105"/>
      <c r="X105"/>
      <c r="Y105"/>
      <c r="Z105"/>
      <c r="AA105"/>
      <c r="AB105" s="191"/>
    </row>
    <row r="106" spans="2:28" s="193" customFormat="1" x14ac:dyDescent="0.25">
      <c r="B106" s="199" t="str">
        <f t="shared" ca="1" si="1"/>
        <v>1. HVAC Design Review</v>
      </c>
      <c r="C106" s="366" t="str">
        <f>'1. HVAC Design Review'!$B$25&amp;'1. HVAC Design Review'!$B$22&amp;"Zone 3"&amp;"_Plan"</f>
        <v>Window Area of Heating / Cooling ZonesHomeZone 3_Plan</v>
      </c>
      <c r="D106" s="97">
        <f>'1. HVAC Design Review'!K76</f>
        <v>0</v>
      </c>
      <c r="E106" s="141" t="str">
        <f>'1. HVAC Design Review'!$R$76</f>
        <v xml:space="preserve">Sq. Ft. </v>
      </c>
      <c r="F106" s="141" t="str">
        <f>'1. HVAC Design Review'!$S$74</f>
        <v>4.3.3.5</v>
      </c>
      <c r="H106"/>
      <c r="I106"/>
      <c r="J106"/>
      <c r="K106"/>
      <c r="L106"/>
      <c r="M106"/>
      <c r="N106"/>
      <c r="O106"/>
      <c r="P106"/>
      <c r="Q106"/>
      <c r="R106"/>
      <c r="S106"/>
      <c r="T106"/>
      <c r="U106"/>
      <c r="V106"/>
      <c r="W106"/>
      <c r="X106"/>
      <c r="Y106"/>
      <c r="Z106"/>
      <c r="AA106" s="191"/>
      <c r="AB106" s="191"/>
    </row>
    <row r="107" spans="2:28" s="193" customFormat="1" x14ac:dyDescent="0.25">
      <c r="B107" s="199" t="str">
        <f t="shared" ca="1" si="1"/>
        <v>1. HVAC Design Review</v>
      </c>
      <c r="C107" s="366" t="str">
        <f>'1. HVAC Design Review'!$B$25&amp;'1. HVAC Design Review'!$B$77&amp;"Zone 3"&amp;"_Plan"</f>
        <v>Window Area of Heating / Cooling ZonesHome is between 60 sq. ft. smaller &amp; 15 sq. ft. larger than HVAC design, 
or for zones with &gt; 500 sq. ft. of windows, between 12% smaller and 3% larger?Zone 3_Plan</v>
      </c>
      <c r="D107" s="141" t="str">
        <f>'1. HVAC Design Review'!K77</f>
        <v>Yes</v>
      </c>
      <c r="E107" s="141"/>
      <c r="F107" s="141" t="str">
        <f>'1. HVAC Design Review'!$S$74</f>
        <v>4.3.3.5</v>
      </c>
      <c r="H107"/>
      <c r="I107"/>
      <c r="J107"/>
      <c r="K107"/>
      <c r="L107"/>
      <c r="M107"/>
      <c r="N107"/>
      <c r="O107"/>
      <c r="P107"/>
      <c r="Q107"/>
      <c r="R107"/>
      <c r="S107"/>
      <c r="T107"/>
      <c r="U107"/>
      <c r="V107"/>
      <c r="W107"/>
      <c r="X107"/>
      <c r="Y107"/>
      <c r="Z107"/>
      <c r="AA107" s="191"/>
      <c r="AB107" s="191"/>
    </row>
    <row r="108" spans="2:28" s="193" customFormat="1" x14ac:dyDescent="0.25">
      <c r="B108" s="199" t="str">
        <f t="shared" ca="1" si="1"/>
        <v>1. HVAC Design Review</v>
      </c>
      <c r="C108" s="200" t="str">
        <f>'1. HVAC Design Review'!$B$31&amp;'1. HVAC Design Review'!$B$81&amp;"Zone 1"&amp;"_Plan"</f>
        <v>Heating / Cooling Loads Methodology and OrientationsIn HVAC Design, is the max. minus min. total heat gain across orientations ≤ 6 kBtuh?Zone 1_Plan</v>
      </c>
      <c r="D108" s="96" t="str">
        <f>'1. HVAC Design Review'!I81</f>
        <v>N/A</v>
      </c>
      <c r="E108" s="141"/>
      <c r="F108" s="141" t="str">
        <f>'1. HVAC Design Review'!$S$81</f>
        <v>4.3.3.7</v>
      </c>
      <c r="H108"/>
      <c r="I108"/>
      <c r="J108"/>
      <c r="K108"/>
      <c r="L108"/>
      <c r="M108"/>
      <c r="N108"/>
      <c r="O108"/>
      <c r="P108"/>
      <c r="Q108"/>
      <c r="R108"/>
      <c r="S108"/>
      <c r="T108"/>
      <c r="U108"/>
      <c r="V108"/>
      <c r="W108"/>
      <c r="X108"/>
      <c r="Y108"/>
      <c r="Z108"/>
      <c r="AA108" s="191"/>
      <c r="AB108" s="191"/>
    </row>
    <row r="109" spans="2:28" s="193" customFormat="1" x14ac:dyDescent="0.25">
      <c r="B109" s="199" t="str">
        <f t="shared" ca="1" si="1"/>
        <v>1. HVAC Design Review</v>
      </c>
      <c r="C109" s="200" t="str">
        <f>'1. HVAC Design Review'!$B$31&amp;'1. HVAC Design Review'!$B$81&amp;"Zone 2"&amp;"_Plan"</f>
        <v>Heating / Cooling Loads Methodology and OrientationsIn HVAC Design, is the max. minus min. total heat gain across orientations ≤ 6 kBtuh?Zone 2_Plan</v>
      </c>
      <c r="D109" s="96" t="str">
        <f>'1. HVAC Design Review'!J81</f>
        <v>N/A</v>
      </c>
      <c r="E109" s="141"/>
      <c r="F109" s="141" t="str">
        <f>'1. HVAC Design Review'!$S$81</f>
        <v>4.3.3.7</v>
      </c>
      <c r="H109"/>
      <c r="I109"/>
      <c r="J109"/>
      <c r="K109"/>
      <c r="L109"/>
      <c r="M109"/>
      <c r="N109"/>
      <c r="O109"/>
      <c r="P109"/>
      <c r="Q109"/>
      <c r="R109"/>
      <c r="S109"/>
      <c r="T109"/>
      <c r="U109"/>
      <c r="V109"/>
      <c r="W109"/>
      <c r="X109"/>
      <c r="Y109"/>
      <c r="Z109"/>
      <c r="AA109" s="191"/>
      <c r="AB109" s="191"/>
    </row>
    <row r="110" spans="2:28" s="193" customFormat="1" x14ac:dyDescent="0.25">
      <c r="B110" s="199" t="str">
        <f t="shared" ca="1" si="1"/>
        <v>1. HVAC Design Review</v>
      </c>
      <c r="C110" s="200" t="str">
        <f>'1. HVAC Design Review'!$B$31&amp;'1. HVAC Design Review'!$B$81&amp;"Zone 3"&amp;"_Plan"</f>
        <v>Heating / Cooling Loads Methodology and OrientationsIn HVAC Design, is the max. minus min. total heat gain across orientations ≤ 6 kBtuh?Zone 3_Plan</v>
      </c>
      <c r="D110" s="96" t="str">
        <f>'1. HVAC Design Review'!K81</f>
        <v>N/A</v>
      </c>
      <c r="E110" s="141"/>
      <c r="F110" s="141" t="str">
        <f>'1. HVAC Design Review'!$S$81</f>
        <v>4.3.3.7</v>
      </c>
      <c r="H110"/>
      <c r="I110"/>
      <c r="J110"/>
      <c r="K110"/>
      <c r="L110"/>
      <c r="M110"/>
      <c r="N110"/>
      <c r="O110"/>
      <c r="P110"/>
      <c r="Q110"/>
      <c r="R110"/>
      <c r="S110"/>
      <c r="T110"/>
      <c r="U110"/>
      <c r="V110"/>
      <c r="W110"/>
      <c r="X110"/>
      <c r="Y110"/>
      <c r="Z110"/>
      <c r="AA110" s="191"/>
      <c r="AB110" s="191"/>
    </row>
    <row r="111" spans="2:28" s="193" customFormat="1" x14ac:dyDescent="0.25">
      <c r="B111" s="199" t="str">
        <f t="shared" ca="1" si="1"/>
        <v>1. HVAC Design Review</v>
      </c>
      <c r="C111" s="199" t="str">
        <f>'1. HVAC Design Review'!$B$83</f>
        <v>Does front orientation of the Home match one of the orientations in the HVAC design?</v>
      </c>
      <c r="D111" s="96" t="str">
        <f>'1. HVAC Design Review'!K83</f>
        <v>Yes</v>
      </c>
      <c r="E111" s="141"/>
      <c r="F111" s="141" t="str">
        <f>'1. HVAC Design Review'!S83</f>
        <v>4.3.3.6</v>
      </c>
      <c r="H111"/>
      <c r="I111"/>
      <c r="J111"/>
      <c r="K111"/>
      <c r="L111"/>
      <c r="M111"/>
      <c r="N111"/>
      <c r="O111"/>
      <c r="P111"/>
      <c r="Q111"/>
      <c r="R111"/>
      <c r="S111"/>
      <c r="T111"/>
      <c r="U111"/>
      <c r="V111"/>
      <c r="W111"/>
      <c r="X111"/>
      <c r="Y111"/>
      <c r="Z111"/>
      <c r="AA111" s="191"/>
      <c r="AB111" s="191"/>
    </row>
    <row r="112" spans="2:28" s="193" customFormat="1" x14ac:dyDescent="0.25">
      <c r="B112" s="199" t="str">
        <f t="shared" ca="1" si="1"/>
        <v>1. HVAC Design Review</v>
      </c>
      <c r="C112" s="361" t="str">
        <f>'1. HVAC Design Review'!$B$64&amp;"_Plan"</f>
        <v>Does the unique identifier for the building that the Home is in match the HVAC design?_Plan</v>
      </c>
      <c r="D112" s="96" t="str">
        <f>'1. HVAC Design Review'!P64</f>
        <v>Yes</v>
      </c>
      <c r="E112" s="141"/>
      <c r="F112" s="141" t="str">
        <f>'1. HVAC Design Review'!$S$64</f>
        <v>4.3.3.1</v>
      </c>
      <c r="H112"/>
      <c r="I112"/>
      <c r="J112"/>
      <c r="K112"/>
      <c r="L112"/>
      <c r="M112"/>
      <c r="N112"/>
      <c r="O112"/>
      <c r="P112"/>
      <c r="Q112"/>
      <c r="R112"/>
      <c r="S112"/>
      <c r="T112"/>
      <c r="U112"/>
      <c r="V112"/>
      <c r="W112"/>
      <c r="X112"/>
      <c r="Y112"/>
      <c r="Z112"/>
      <c r="AA112" s="191"/>
      <c r="AB112" s="191"/>
    </row>
    <row r="113" spans="2:28" s="193" customFormat="1" x14ac:dyDescent="0.25">
      <c r="B113" s="199" t="str">
        <f t="shared" ca="1" si="1"/>
        <v>1. HVAC Design Review</v>
      </c>
      <c r="C113" s="361" t="str">
        <f>'1. HVAC Design Review'!$B$65&amp;"_Plan"</f>
        <v>Does the name of the plan for the Home match the HVAC design?_Plan</v>
      </c>
      <c r="D113" s="96" t="str">
        <f>'1. HVAC Design Review'!P65</f>
        <v>Yes</v>
      </c>
      <c r="E113" s="141"/>
      <c r="F113" s="141" t="str">
        <f>'1. HVAC Design Review'!$S$65</f>
        <v>4.3.3.2</v>
      </c>
      <c r="H113"/>
      <c r="I113"/>
      <c r="J113"/>
      <c r="K113"/>
      <c r="L113"/>
      <c r="M113"/>
      <c r="N113"/>
      <c r="O113"/>
      <c r="P113"/>
      <c r="Q113"/>
      <c r="R113"/>
      <c r="S113"/>
      <c r="T113"/>
      <c r="U113"/>
      <c r="V113"/>
      <c r="W113"/>
      <c r="X113"/>
      <c r="Y113"/>
      <c r="Z113"/>
      <c r="AA113" s="191"/>
      <c r="AB113" s="191"/>
    </row>
    <row r="114" spans="2:28" s="193" customFormat="1" x14ac:dyDescent="0.25">
      <c r="B114" s="199" t="str">
        <f t="shared" ca="1" si="1"/>
        <v>1. HVAC Design Review</v>
      </c>
      <c r="C114" s="199" t="str">
        <f>'1. HVAC Design Review'!$B$66&amp;"_Plan"</f>
        <v>Do the options used in the Home match those in the HVAC design, 
or are they listed in the options the HVAC design can be used with?_Plan</v>
      </c>
      <c r="D114" s="96" t="str">
        <f>'1. HVAC Design Review'!P66</f>
        <v>Yes</v>
      </c>
      <c r="E114" s="141"/>
      <c r="F114" s="141" t="str">
        <f>'1. HVAC Design Review'!$S$66</f>
        <v>4.3.3.3</v>
      </c>
      <c r="H114"/>
      <c r="I114"/>
      <c r="J114"/>
      <c r="K114"/>
      <c r="L114"/>
      <c r="M114"/>
      <c r="N114"/>
      <c r="O114"/>
      <c r="P114"/>
      <c r="Q114"/>
      <c r="R114"/>
      <c r="S114"/>
      <c r="T114"/>
      <c r="U114"/>
      <c r="V114"/>
      <c r="W114"/>
      <c r="X114"/>
      <c r="Y114"/>
      <c r="Z114"/>
      <c r="AA114" s="191"/>
      <c r="AB114" s="191"/>
    </row>
    <row r="115" spans="2:28" s="193" customFormat="1" x14ac:dyDescent="0.25">
      <c r="B115" s="199" t="str">
        <f t="shared" ca="1" si="1"/>
        <v>1. HVAC Design Review</v>
      </c>
      <c r="C115" s="366" t="str">
        <f>'1. HVAC Design Review'!$B$20&amp;'1. HVAC Design Review'!$B$21&amp;"Zone 1"&amp;"_Plan"</f>
        <v>Conditioned Floor Area of Heating / Cooling ZonesHVAC DesignZone 1_Plan</v>
      </c>
      <c r="D115" s="97">
        <f>'1. HVAC Design Review'!N70</f>
        <v>0</v>
      </c>
      <c r="E115" s="141" t="str">
        <f>'1. HVAC Design Review'!$R$70</f>
        <v xml:space="preserve">Sq. Ft. </v>
      </c>
      <c r="F115" s="141" t="str">
        <f>'1. HVAC Design Review'!$S$69</f>
        <v>4.3.3.4</v>
      </c>
      <c r="H115"/>
      <c r="I115"/>
      <c r="J115"/>
      <c r="K115"/>
      <c r="L115"/>
      <c r="M115"/>
      <c r="N115"/>
      <c r="O115"/>
      <c r="P115"/>
      <c r="Q115"/>
      <c r="R115"/>
      <c r="S115"/>
      <c r="T115"/>
      <c r="U115"/>
      <c r="V115"/>
      <c r="W115"/>
      <c r="X115"/>
      <c r="Y115"/>
      <c r="Z115"/>
      <c r="AA115" s="191"/>
      <c r="AB115" s="191"/>
    </row>
    <row r="116" spans="2:28" s="193" customFormat="1" x14ac:dyDescent="0.25">
      <c r="B116" s="199" t="str">
        <f t="shared" ca="1" si="1"/>
        <v>1. HVAC Design Review</v>
      </c>
      <c r="C116" s="366" t="str">
        <f>'1. HVAC Design Review'!$B$20&amp;'1. HVAC Design Review'!$B$22&amp;"Zone 1"&amp;"_Plan"</f>
        <v>Conditioned Floor Area of Heating / Cooling ZonesHomeZone 1_Plan</v>
      </c>
      <c r="D116" s="97">
        <f>'1. HVAC Design Review'!N71</f>
        <v>0</v>
      </c>
      <c r="E116" s="141" t="str">
        <f>'1. HVAC Design Review'!$R$71</f>
        <v xml:space="preserve">Sq. Ft. </v>
      </c>
      <c r="F116" s="141" t="str">
        <f>'1. HVAC Design Review'!$S$69</f>
        <v>4.3.3.4</v>
      </c>
      <c r="H116"/>
      <c r="I116"/>
      <c r="J116"/>
      <c r="K116"/>
      <c r="L116"/>
      <c r="M116"/>
      <c r="N116"/>
      <c r="O116"/>
      <c r="P116"/>
      <c r="Q116"/>
      <c r="R116"/>
      <c r="S116"/>
      <c r="T116"/>
      <c r="U116"/>
      <c r="V116"/>
      <c r="W116"/>
      <c r="X116"/>
      <c r="Y116"/>
      <c r="Z116"/>
      <c r="AA116" s="191"/>
      <c r="AB116" s="191"/>
    </row>
    <row r="117" spans="2:28" s="193" customFormat="1" x14ac:dyDescent="0.25">
      <c r="B117" s="199" t="str">
        <f t="shared" ca="1" si="1"/>
        <v>1. HVAC Design Review</v>
      </c>
      <c r="C117" s="366" t="str">
        <f>'1. HVAC Design Review'!$B$20&amp;'1. HVAC Design Review'!$B$23&amp;"Zone 1"&amp;"_Plan"</f>
        <v>Conditioned Floor Area of Heating / Cooling ZonesHome is between 300 sq. ft. smaller &amp; 100 sq. ft.  larger than HVAC design?Zone 1_Plan</v>
      </c>
      <c r="D117" s="141" t="str">
        <f>'1. HVAC Design Review'!N72</f>
        <v>Yes</v>
      </c>
      <c r="E117" s="141"/>
      <c r="F117" s="141" t="str">
        <f>'1. HVAC Design Review'!$S$69</f>
        <v>4.3.3.4</v>
      </c>
      <c r="H117"/>
      <c r="I117"/>
      <c r="J117"/>
      <c r="K117"/>
      <c r="L117"/>
      <c r="M117"/>
      <c r="N117"/>
      <c r="O117"/>
      <c r="P117"/>
      <c r="Q117"/>
      <c r="R117"/>
      <c r="S117"/>
      <c r="T117"/>
      <c r="U117"/>
      <c r="V117"/>
      <c r="W117"/>
      <c r="X117"/>
      <c r="Y117"/>
      <c r="Z117"/>
      <c r="AA117" s="191"/>
      <c r="AB117" s="191"/>
    </row>
    <row r="118" spans="2:28" s="193" customFormat="1" x14ac:dyDescent="0.25">
      <c r="B118" s="199" t="str">
        <f t="shared" ca="1" si="1"/>
        <v>1. HVAC Design Review</v>
      </c>
      <c r="C118" s="366" t="str">
        <f>'1. HVAC Design Review'!$B$20&amp;'1. HVAC Design Review'!$B$21&amp;"Zone 2"&amp;"_Plan"</f>
        <v>Conditioned Floor Area of Heating / Cooling ZonesHVAC DesignZone 2_Plan</v>
      </c>
      <c r="D118" s="97">
        <f>'1. HVAC Design Review'!O70</f>
        <v>0</v>
      </c>
      <c r="E118" s="141" t="str">
        <f>'1. HVAC Design Review'!$R$70</f>
        <v xml:space="preserve">Sq. Ft. </v>
      </c>
      <c r="F118" s="141" t="str">
        <f>'1. HVAC Design Review'!$S$69</f>
        <v>4.3.3.4</v>
      </c>
      <c r="H118"/>
      <c r="I118"/>
      <c r="J118"/>
      <c r="K118"/>
      <c r="L118"/>
      <c r="M118"/>
      <c r="N118"/>
      <c r="O118"/>
      <c r="P118"/>
      <c r="Q118"/>
      <c r="R118"/>
      <c r="S118"/>
      <c r="T118"/>
      <c r="U118"/>
      <c r="V118"/>
      <c r="W118"/>
      <c r="X118"/>
      <c r="Y118"/>
      <c r="Z118"/>
      <c r="AA118" s="191"/>
      <c r="AB118" s="191"/>
    </row>
    <row r="119" spans="2:28" s="193" customFormat="1" x14ac:dyDescent="0.25">
      <c r="B119" s="199" t="str">
        <f t="shared" ca="1" si="1"/>
        <v>1. HVAC Design Review</v>
      </c>
      <c r="C119" s="366" t="str">
        <f>'1. HVAC Design Review'!$B$20&amp;'1. HVAC Design Review'!$B$22&amp;"Zone 2"&amp;"_Plan"</f>
        <v>Conditioned Floor Area of Heating / Cooling ZonesHomeZone 2_Plan</v>
      </c>
      <c r="D119" s="97">
        <f>'1. HVAC Design Review'!O71</f>
        <v>0</v>
      </c>
      <c r="E119" s="141" t="str">
        <f>'1. HVAC Design Review'!$R$71</f>
        <v xml:space="preserve">Sq. Ft. </v>
      </c>
      <c r="F119" s="141" t="str">
        <f>'1. HVAC Design Review'!$S$69</f>
        <v>4.3.3.4</v>
      </c>
      <c r="H119"/>
      <c r="I119"/>
      <c r="J119"/>
      <c r="K119"/>
      <c r="L119"/>
      <c r="M119"/>
      <c r="N119"/>
      <c r="O119"/>
      <c r="P119"/>
      <c r="Q119"/>
      <c r="R119"/>
      <c r="S119"/>
      <c r="T119"/>
      <c r="U119"/>
      <c r="V119"/>
      <c r="W119"/>
      <c r="X119"/>
      <c r="Y119"/>
      <c r="Z119"/>
      <c r="AA119" s="191"/>
      <c r="AB119" s="191"/>
    </row>
    <row r="120" spans="2:28" s="193" customFormat="1" x14ac:dyDescent="0.25">
      <c r="B120" s="199" t="str">
        <f t="shared" ca="1" si="1"/>
        <v>1. HVAC Design Review</v>
      </c>
      <c r="C120" s="366" t="str">
        <f>'1. HVAC Design Review'!$B$20&amp;'1. HVAC Design Review'!$B$23&amp;"Zone 2"&amp;"_Plan"</f>
        <v>Conditioned Floor Area of Heating / Cooling ZonesHome is between 300 sq. ft. smaller &amp; 100 sq. ft.  larger than HVAC design?Zone 2_Plan</v>
      </c>
      <c r="D120" s="141" t="str">
        <f>'1. HVAC Design Review'!O72</f>
        <v>Yes</v>
      </c>
      <c r="E120" s="141"/>
      <c r="F120" s="141" t="str">
        <f>'1. HVAC Design Review'!$S$69</f>
        <v>4.3.3.4</v>
      </c>
      <c r="H120"/>
      <c r="I120"/>
      <c r="J120"/>
      <c r="K120"/>
      <c r="L120"/>
      <c r="M120"/>
      <c r="N120"/>
      <c r="O120"/>
      <c r="P120"/>
      <c r="Q120"/>
      <c r="R120"/>
      <c r="S120"/>
      <c r="T120"/>
      <c r="U120"/>
      <c r="V120"/>
      <c r="W120"/>
      <c r="X120"/>
      <c r="Y120"/>
      <c r="Z120"/>
      <c r="AA120" s="191"/>
      <c r="AB120" s="191"/>
    </row>
    <row r="121" spans="2:28" s="193" customFormat="1" ht="15.75" customHeight="1" x14ac:dyDescent="0.25">
      <c r="B121" s="199" t="str">
        <f t="shared" ca="1" si="1"/>
        <v>1. HVAC Design Review</v>
      </c>
      <c r="C121" s="366" t="str">
        <f>'1. HVAC Design Review'!$B$20&amp;'1. HVAC Design Review'!$B$21&amp;"Zone 3"&amp;"_Plan"</f>
        <v>Conditioned Floor Area of Heating / Cooling ZonesHVAC DesignZone 3_Plan</v>
      </c>
      <c r="D121" s="97">
        <f>'1. HVAC Design Review'!P70</f>
        <v>0</v>
      </c>
      <c r="E121" s="141" t="str">
        <f>'1. HVAC Design Review'!$R$70</f>
        <v xml:space="preserve">Sq. Ft. </v>
      </c>
      <c r="F121" s="141" t="str">
        <f>'1. HVAC Design Review'!$S$69</f>
        <v>4.3.3.4</v>
      </c>
      <c r="H121"/>
      <c r="I121"/>
      <c r="J121"/>
      <c r="K121"/>
      <c r="L121"/>
      <c r="M121"/>
      <c r="N121"/>
      <c r="O121"/>
      <c r="P121"/>
      <c r="Q121"/>
      <c r="R121"/>
      <c r="S121"/>
      <c r="T121"/>
      <c r="U121"/>
      <c r="V121"/>
      <c r="W121"/>
      <c r="X121"/>
      <c r="Y121"/>
      <c r="Z121"/>
      <c r="AA121" s="191"/>
      <c r="AB121" s="191"/>
    </row>
    <row r="122" spans="2:28" s="193" customFormat="1" x14ac:dyDescent="0.25">
      <c r="B122" s="199" t="str">
        <f t="shared" ca="1" si="1"/>
        <v>1. HVAC Design Review</v>
      </c>
      <c r="C122" s="366" t="str">
        <f>'1. HVAC Design Review'!$B$20&amp;'1. HVAC Design Review'!$B$22&amp;"Zone 3"&amp;"_Plan"</f>
        <v>Conditioned Floor Area of Heating / Cooling ZonesHomeZone 3_Plan</v>
      </c>
      <c r="D122" s="97">
        <f>'1. HVAC Design Review'!P71</f>
        <v>0</v>
      </c>
      <c r="E122" s="141" t="str">
        <f>'1. HVAC Design Review'!$R$71</f>
        <v xml:space="preserve">Sq. Ft. </v>
      </c>
      <c r="F122" s="141" t="str">
        <f>'1. HVAC Design Review'!$S$69</f>
        <v>4.3.3.4</v>
      </c>
      <c r="H122"/>
      <c r="I122"/>
      <c r="J122"/>
      <c r="K122"/>
      <c r="L122"/>
      <c r="M122"/>
      <c r="N122"/>
      <c r="O122"/>
      <c r="P122"/>
      <c r="Q122"/>
      <c r="R122"/>
      <c r="S122"/>
      <c r="T122"/>
      <c r="U122"/>
      <c r="V122"/>
      <c r="W122"/>
      <c r="X122"/>
      <c r="Y122"/>
      <c r="Z122"/>
      <c r="AA122" s="191"/>
      <c r="AB122" s="191"/>
    </row>
    <row r="123" spans="2:28" s="193" customFormat="1" x14ac:dyDescent="0.25">
      <c r="B123" s="199" t="str">
        <f t="shared" ca="1" si="1"/>
        <v>1. HVAC Design Review</v>
      </c>
      <c r="C123" s="366" t="str">
        <f>'1. HVAC Design Review'!$B$20&amp;'1. HVAC Design Review'!$B$23&amp;"Zone 3"&amp;"_Plan"</f>
        <v>Conditioned Floor Area of Heating / Cooling ZonesHome is between 300 sq. ft. smaller &amp; 100 sq. ft.  larger than HVAC design?Zone 3_Plan</v>
      </c>
      <c r="D123" s="141" t="str">
        <f>'1. HVAC Design Review'!P72</f>
        <v>Yes</v>
      </c>
      <c r="E123" s="141"/>
      <c r="F123" s="141" t="str">
        <f>'1. HVAC Design Review'!$S$69</f>
        <v>4.3.3.4</v>
      </c>
      <c r="H123"/>
      <c r="I123"/>
      <c r="J123"/>
      <c r="K123"/>
      <c r="L123"/>
      <c r="M123"/>
      <c r="N123"/>
      <c r="O123"/>
      <c r="P123"/>
      <c r="Q123"/>
      <c r="R123"/>
      <c r="S123"/>
      <c r="T123"/>
      <c r="U123"/>
      <c r="V123"/>
      <c r="W123"/>
      <c r="X123"/>
      <c r="Y123"/>
      <c r="Z123"/>
      <c r="AA123" s="191"/>
      <c r="AB123" s="191"/>
    </row>
    <row r="124" spans="2:28" s="193" customFormat="1" x14ac:dyDescent="0.25">
      <c r="B124" s="199" t="str">
        <f t="shared" ca="1" si="1"/>
        <v>1. HVAC Design Review</v>
      </c>
      <c r="C124" s="366" t="str">
        <f>'1. HVAC Design Review'!$B$25&amp;'1. HVAC Design Review'!$B$26&amp;"Zone 1"&amp;"_Plan"</f>
        <v>Window Area of Heating / Cooling ZonesHVAC DesignZone 1_Plan</v>
      </c>
      <c r="D124" s="97">
        <f>'1. HVAC Design Review'!N75</f>
        <v>0</v>
      </c>
      <c r="E124" s="141" t="str">
        <f>'1. HVAC Design Review'!$R$75</f>
        <v xml:space="preserve">Sq. Ft. </v>
      </c>
      <c r="F124" s="141" t="str">
        <f>'1. HVAC Design Review'!$S$74</f>
        <v>4.3.3.5</v>
      </c>
      <c r="H124"/>
      <c r="I124"/>
      <c r="J124"/>
      <c r="K124"/>
      <c r="L124"/>
      <c r="M124"/>
      <c r="N124"/>
      <c r="O124"/>
      <c r="P124"/>
      <c r="Q124"/>
      <c r="R124"/>
      <c r="S124"/>
      <c r="T124"/>
      <c r="U124"/>
      <c r="V124"/>
      <c r="W124"/>
      <c r="X124"/>
      <c r="Y124"/>
      <c r="Z124"/>
      <c r="AA124" s="191"/>
      <c r="AB124" s="191"/>
    </row>
    <row r="125" spans="2:28" s="193" customFormat="1" x14ac:dyDescent="0.25">
      <c r="B125" s="199" t="str">
        <f t="shared" ca="1" si="1"/>
        <v>1. HVAC Design Review</v>
      </c>
      <c r="C125" s="366" t="str">
        <f>'1. HVAC Design Review'!$B$25&amp;'1. HVAC Design Review'!$B$22&amp;"Zone 1"&amp;"_Plan"</f>
        <v>Window Area of Heating / Cooling ZonesHomeZone 1_Plan</v>
      </c>
      <c r="D125" s="97">
        <f>'1. HVAC Design Review'!N76</f>
        <v>0</v>
      </c>
      <c r="E125" s="141" t="str">
        <f>'1. HVAC Design Review'!$R$76</f>
        <v xml:space="preserve">Sq. Ft. </v>
      </c>
      <c r="F125" s="141" t="str">
        <f>'1. HVAC Design Review'!$S$74</f>
        <v>4.3.3.5</v>
      </c>
      <c r="H125"/>
      <c r="I125"/>
      <c r="J125"/>
      <c r="K125"/>
      <c r="L125"/>
      <c r="M125"/>
      <c r="N125"/>
      <c r="O125"/>
      <c r="P125"/>
      <c r="Q125"/>
      <c r="R125"/>
      <c r="S125"/>
      <c r="T125"/>
      <c r="U125"/>
      <c r="V125"/>
      <c r="W125"/>
      <c r="X125"/>
      <c r="Y125"/>
      <c r="Z125"/>
      <c r="AA125" s="191"/>
      <c r="AB125" s="191"/>
    </row>
    <row r="126" spans="2:28" s="193" customFormat="1" x14ac:dyDescent="0.25">
      <c r="B126" s="199" t="str">
        <f t="shared" ca="1" si="1"/>
        <v>1. HVAC Design Review</v>
      </c>
      <c r="C126" s="366" t="str">
        <f>'1. HVAC Design Review'!$B$25&amp;'1. HVAC Design Review'!$B$77&amp;"Zone 1"&amp;"_Plan"</f>
        <v>Window Area of Heating / Cooling ZonesHome is between 60 sq. ft. smaller &amp; 15 sq. ft. larger than HVAC design, 
or for zones with &gt; 500 sq. ft. of windows, between 12% smaller and 3% larger?Zone 1_Plan</v>
      </c>
      <c r="D126" s="141" t="str">
        <f>'1. HVAC Design Review'!N77</f>
        <v>Yes</v>
      </c>
      <c r="E126" s="141"/>
      <c r="F126" s="141" t="str">
        <f>'1. HVAC Design Review'!$S$74</f>
        <v>4.3.3.5</v>
      </c>
      <c r="H126"/>
      <c r="I126"/>
      <c r="J126"/>
      <c r="K126"/>
      <c r="L126"/>
      <c r="M126"/>
      <c r="N126"/>
      <c r="O126"/>
      <c r="P126"/>
      <c r="Q126"/>
      <c r="R126"/>
      <c r="S126"/>
      <c r="T126"/>
      <c r="U126"/>
      <c r="V126"/>
      <c r="W126"/>
      <c r="X126"/>
      <c r="Y126"/>
      <c r="Z126"/>
      <c r="AA126" s="191"/>
      <c r="AB126" s="191"/>
    </row>
    <row r="127" spans="2:28" s="193" customFormat="1" x14ac:dyDescent="0.25">
      <c r="B127" s="199" t="str">
        <f t="shared" ca="1" si="1"/>
        <v>1. HVAC Design Review</v>
      </c>
      <c r="C127" s="366" t="str">
        <f>'1. HVAC Design Review'!$B$25&amp;'1. HVAC Design Review'!$B$26&amp;"Zone 2"&amp;"_Plan"</f>
        <v>Window Area of Heating / Cooling ZonesHVAC DesignZone 2_Plan</v>
      </c>
      <c r="D127" s="97">
        <f>'1. HVAC Design Review'!O75</f>
        <v>0</v>
      </c>
      <c r="E127" s="141" t="str">
        <f>'1. HVAC Design Review'!$R$75</f>
        <v xml:space="preserve">Sq. Ft. </v>
      </c>
      <c r="F127" s="141" t="str">
        <f>'1. HVAC Design Review'!$S$74</f>
        <v>4.3.3.5</v>
      </c>
      <c r="H127"/>
      <c r="I127"/>
      <c r="J127"/>
      <c r="K127"/>
      <c r="L127"/>
      <c r="M127"/>
      <c r="N127"/>
      <c r="O127"/>
      <c r="P127"/>
      <c r="Q127"/>
      <c r="R127"/>
      <c r="S127"/>
      <c r="T127"/>
      <c r="U127"/>
      <c r="V127"/>
      <c r="W127"/>
      <c r="X127"/>
      <c r="Y127"/>
      <c r="Z127"/>
      <c r="AA127" s="191"/>
      <c r="AB127" s="191"/>
    </row>
    <row r="128" spans="2:28" s="193" customFormat="1" x14ac:dyDescent="0.25">
      <c r="B128" s="199" t="str">
        <f t="shared" ca="1" si="1"/>
        <v>1. HVAC Design Review</v>
      </c>
      <c r="C128" s="366" t="str">
        <f>'1. HVAC Design Review'!$B$25&amp;'1. HVAC Design Review'!$B$22&amp;"Zone 2"&amp;"_Plan"</f>
        <v>Window Area of Heating / Cooling ZonesHomeZone 2_Plan</v>
      </c>
      <c r="D128" s="97">
        <f>'1. HVAC Design Review'!O76</f>
        <v>0</v>
      </c>
      <c r="E128" s="141" t="str">
        <f>'1. HVAC Design Review'!$R$76</f>
        <v xml:space="preserve">Sq. Ft. </v>
      </c>
      <c r="F128" s="141" t="str">
        <f>'1. HVAC Design Review'!$S$74</f>
        <v>4.3.3.5</v>
      </c>
      <c r="H128"/>
      <c r="I128"/>
      <c r="J128"/>
      <c r="K128"/>
      <c r="L128"/>
      <c r="M128"/>
      <c r="N128"/>
      <c r="O128"/>
      <c r="P128"/>
      <c r="Q128"/>
      <c r="R128"/>
      <c r="S128"/>
      <c r="T128"/>
      <c r="U128"/>
      <c r="V128"/>
      <c r="W128"/>
      <c r="X128"/>
      <c r="Y128"/>
      <c r="Z128"/>
      <c r="AA128" s="191"/>
      <c r="AB128" s="191"/>
    </row>
    <row r="129" spans="1:28" s="193" customFormat="1" x14ac:dyDescent="0.25">
      <c r="B129" s="199" t="str">
        <f t="shared" ca="1" si="1"/>
        <v>1. HVAC Design Review</v>
      </c>
      <c r="C129" s="366" t="str">
        <f>'1. HVAC Design Review'!$B$25&amp;'1. HVAC Design Review'!$B$77&amp;"Zone 2"&amp;"_Plan"</f>
        <v>Window Area of Heating / Cooling ZonesHome is between 60 sq. ft. smaller &amp; 15 sq. ft. larger than HVAC design, 
or for zones with &gt; 500 sq. ft. of windows, between 12% smaller and 3% larger?Zone 2_Plan</v>
      </c>
      <c r="D129" s="141" t="str">
        <f>'1. HVAC Design Review'!O77</f>
        <v>Yes</v>
      </c>
      <c r="E129" s="141"/>
      <c r="F129" s="141" t="str">
        <f>'1. HVAC Design Review'!$S$74</f>
        <v>4.3.3.5</v>
      </c>
      <c r="H129"/>
      <c r="I129"/>
      <c r="J129"/>
      <c r="K129"/>
      <c r="L129"/>
      <c r="M129"/>
      <c r="N129"/>
      <c r="O129"/>
      <c r="P129"/>
      <c r="Q129"/>
      <c r="R129"/>
      <c r="S129"/>
      <c r="T129"/>
      <c r="U129"/>
      <c r="V129"/>
      <c r="W129"/>
      <c r="X129"/>
      <c r="Y129"/>
      <c r="Z129"/>
      <c r="AA129" s="191"/>
      <c r="AB129" s="191"/>
    </row>
    <row r="130" spans="1:28" s="193" customFormat="1" x14ac:dyDescent="0.25">
      <c r="B130" s="199" t="str">
        <f t="shared" ca="1" si="1"/>
        <v>1. HVAC Design Review</v>
      </c>
      <c r="C130" s="366" t="str">
        <f>'1. HVAC Design Review'!$B$25&amp;'1. HVAC Design Review'!$B$26&amp;"Zone 3"&amp;"_Plan"</f>
        <v>Window Area of Heating / Cooling ZonesHVAC DesignZone 3_Plan</v>
      </c>
      <c r="D130" s="97">
        <f>'1. HVAC Design Review'!P75</f>
        <v>0</v>
      </c>
      <c r="E130" s="141" t="str">
        <f>'1. HVAC Design Review'!$R$75</f>
        <v xml:space="preserve">Sq. Ft. </v>
      </c>
      <c r="F130" s="141" t="str">
        <f>'1. HVAC Design Review'!$S$74</f>
        <v>4.3.3.5</v>
      </c>
      <c r="H130"/>
      <c r="I130"/>
      <c r="J130"/>
      <c r="K130"/>
      <c r="L130"/>
      <c r="M130"/>
      <c r="N130"/>
      <c r="O130"/>
      <c r="P130"/>
      <c r="Q130"/>
      <c r="R130"/>
      <c r="S130"/>
      <c r="T130"/>
      <c r="U130"/>
      <c r="V130"/>
      <c r="W130"/>
      <c r="X130"/>
      <c r="Y130"/>
      <c r="Z130"/>
      <c r="AA130" s="191"/>
      <c r="AB130" s="191"/>
    </row>
    <row r="131" spans="1:28" s="193" customFormat="1" x14ac:dyDescent="0.25">
      <c r="B131" s="199" t="str">
        <f t="shared" ref="B131:B155" ca="1" si="2">MID(CELL("filename",INDIRECT(RIGHT(_xlfn.FORMULATEXT(D131),LEN(_xlfn.FORMULATEXT(D131))-1),TRUE)),FIND("]",CELL("filename",INDIRECT(RIGHT(_xlfn.FORMULATEXT(D131),LEN(_xlfn.FORMULATEXT(D131))-1),TRUE)))+1,255)</f>
        <v>1. HVAC Design Review</v>
      </c>
      <c r="C131" s="366" t="str">
        <f>'1. HVAC Design Review'!$B$25&amp;'1. HVAC Design Review'!$B$22&amp;"Zone 3"&amp;"_Plan"</f>
        <v>Window Area of Heating / Cooling ZonesHomeZone 3_Plan</v>
      </c>
      <c r="D131" s="97">
        <f>'1. HVAC Design Review'!P76</f>
        <v>0</v>
      </c>
      <c r="E131" s="141" t="str">
        <f>'1. HVAC Design Review'!$R$76</f>
        <v xml:space="preserve">Sq. Ft. </v>
      </c>
      <c r="F131" s="141" t="str">
        <f>'1. HVAC Design Review'!$S$74</f>
        <v>4.3.3.5</v>
      </c>
      <c r="H131"/>
      <c r="I131"/>
      <c r="J131"/>
      <c r="M131"/>
      <c r="N131"/>
      <c r="O131"/>
      <c r="P131"/>
      <c r="Q131"/>
      <c r="R131"/>
      <c r="S131"/>
      <c r="T131"/>
      <c r="U131"/>
      <c r="V131"/>
      <c r="W131"/>
      <c r="X131"/>
      <c r="Y131"/>
      <c r="Z131"/>
      <c r="AA131" s="191"/>
      <c r="AB131" s="191"/>
    </row>
    <row r="132" spans="1:28" s="193" customFormat="1" x14ac:dyDescent="0.25">
      <c r="B132" s="199" t="str">
        <f t="shared" ca="1" si="2"/>
        <v>1. HVAC Design Review</v>
      </c>
      <c r="C132" s="366" t="str">
        <f>'1. HVAC Design Review'!$B$25&amp;'1. HVAC Design Review'!$B$77&amp;"Zone 3"&amp;"_Plan"</f>
        <v>Window Area of Heating / Cooling ZonesHome is between 60 sq. ft. smaller &amp; 15 sq. ft. larger than HVAC design, 
or for zones with &gt; 500 sq. ft. of windows, between 12% smaller and 3% larger?Zone 3_Plan</v>
      </c>
      <c r="D132" s="141" t="str">
        <f>'1. HVAC Design Review'!P77</f>
        <v>Yes</v>
      </c>
      <c r="E132" s="141"/>
      <c r="F132" s="141" t="str">
        <f>'1. HVAC Design Review'!$S$74</f>
        <v>4.3.3.5</v>
      </c>
      <c r="H132"/>
      <c r="I132"/>
      <c r="J132"/>
      <c r="M132"/>
      <c r="N132"/>
      <c r="O132"/>
      <c r="P132"/>
      <c r="Q132"/>
      <c r="R132"/>
      <c r="S132"/>
      <c r="T132"/>
      <c r="U132"/>
      <c r="V132"/>
      <c r="W132"/>
      <c r="X132"/>
      <c r="Y132"/>
      <c r="Z132"/>
      <c r="AA132" s="191"/>
      <c r="AB132" s="191"/>
    </row>
    <row r="133" spans="1:28" s="193" customFormat="1" x14ac:dyDescent="0.25">
      <c r="B133" s="199" t="str">
        <f t="shared" ca="1" si="2"/>
        <v>1. HVAC Design Review</v>
      </c>
      <c r="C133" s="200" t="str">
        <f>'1. HVAC Design Review'!$B$31&amp;'1. HVAC Design Review'!$B$81&amp;"Zone 1"&amp;"_Plan"</f>
        <v>Heating / Cooling Loads Methodology and OrientationsIn HVAC Design, is the max. minus min. total heat gain across orientations ≤ 6 kBtuh?Zone 1_Plan</v>
      </c>
      <c r="D133" s="141" t="str">
        <f>'1. HVAC Design Review'!N81</f>
        <v>N/A</v>
      </c>
      <c r="E133" s="141"/>
      <c r="F133" s="141" t="str">
        <f>'1. HVAC Design Review'!$S$81</f>
        <v>4.3.3.7</v>
      </c>
      <c r="H133"/>
      <c r="I133"/>
      <c r="J133"/>
      <c r="K133"/>
      <c r="L133"/>
      <c r="M133"/>
      <c r="N133"/>
      <c r="O133"/>
      <c r="P133"/>
      <c r="Q133"/>
      <c r="R133"/>
      <c r="S133"/>
      <c r="T133"/>
      <c r="U133"/>
      <c r="V133"/>
      <c r="W133"/>
      <c r="X133"/>
      <c r="Y133"/>
      <c r="Z133"/>
      <c r="AA133" s="191"/>
      <c r="AB133" s="191"/>
    </row>
    <row r="134" spans="1:28" s="193" customFormat="1" x14ac:dyDescent="0.25">
      <c r="B134" s="199" t="str">
        <f t="shared" ca="1" si="2"/>
        <v>1. HVAC Design Review</v>
      </c>
      <c r="C134" s="200" t="str">
        <f>'1. HVAC Design Review'!$B$31&amp;'1. HVAC Design Review'!$B$81&amp;"Zone 2"&amp;"_Plan"</f>
        <v>Heating / Cooling Loads Methodology and OrientationsIn HVAC Design, is the max. minus min. total heat gain across orientations ≤ 6 kBtuh?Zone 2_Plan</v>
      </c>
      <c r="D134" s="141" t="str">
        <f>'1. HVAC Design Review'!O81</f>
        <v>N/A</v>
      </c>
      <c r="E134" s="141"/>
      <c r="F134" s="141" t="str">
        <f>'1. HVAC Design Review'!$S$81</f>
        <v>4.3.3.7</v>
      </c>
      <c r="H134"/>
      <c r="I134"/>
      <c r="J134"/>
      <c r="K134"/>
      <c r="L134"/>
      <c r="M134"/>
      <c r="N134"/>
      <c r="O134"/>
      <c r="P134"/>
      <c r="Q134"/>
      <c r="R134"/>
      <c r="S134"/>
      <c r="T134"/>
      <c r="U134"/>
      <c r="V134"/>
      <c r="W134"/>
      <c r="X134"/>
      <c r="Y134"/>
      <c r="Z134"/>
      <c r="AA134" s="191"/>
      <c r="AB134" s="191"/>
    </row>
    <row r="135" spans="1:28" s="193" customFormat="1" x14ac:dyDescent="0.25">
      <c r="B135" s="199" t="str">
        <f t="shared" ca="1" si="2"/>
        <v>1. HVAC Design Review</v>
      </c>
      <c r="C135" s="200" t="str">
        <f>'1. HVAC Design Review'!$B$31&amp;'1. HVAC Design Review'!$B$81&amp;"Zone 3"&amp;"_Plan"</f>
        <v>Heating / Cooling Loads Methodology and OrientationsIn HVAC Design, is the max. minus min. total heat gain across orientations ≤ 6 kBtuh?Zone 3_Plan</v>
      </c>
      <c r="D135" s="141" t="str">
        <f>'1. HVAC Design Review'!P81</f>
        <v>N/A</v>
      </c>
      <c r="E135" s="141"/>
      <c r="F135" s="141" t="str">
        <f>'1. HVAC Design Review'!$S$81</f>
        <v>4.3.3.7</v>
      </c>
      <c r="H135"/>
      <c r="I135"/>
      <c r="J135"/>
      <c r="K135"/>
      <c r="L135"/>
      <c r="M135"/>
      <c r="N135"/>
      <c r="O135"/>
      <c r="P135"/>
      <c r="Q135"/>
      <c r="R135"/>
      <c r="S135"/>
      <c r="T135"/>
      <c r="U135"/>
      <c r="V135"/>
      <c r="W135"/>
      <c r="X135"/>
      <c r="Y135"/>
      <c r="Z135"/>
      <c r="AA135" s="191"/>
      <c r="AB135" s="191"/>
    </row>
    <row r="136" spans="1:28" s="193" customFormat="1" x14ac:dyDescent="0.25">
      <c r="B136" s="199" t="str">
        <f t="shared" ca="1" si="2"/>
        <v>1. HVAC Design Review</v>
      </c>
      <c r="C136" s="199" t="str">
        <f>'1. HVAC Design Review'!$B$83&amp;"_Plan"</f>
        <v>Does front orientation of the Home match one of the orientations in the HVAC design?_Plan</v>
      </c>
      <c r="D136" s="96" t="str">
        <f>'1. HVAC Design Review'!P83</f>
        <v>Yes</v>
      </c>
      <c r="E136" s="141"/>
      <c r="F136" s="141" t="str">
        <f>'1. HVAC Design Review'!$S$83</f>
        <v>4.3.3.6</v>
      </c>
      <c r="H136"/>
      <c r="I136"/>
      <c r="J136"/>
      <c r="K136"/>
      <c r="L136"/>
      <c r="M136"/>
      <c r="N136"/>
      <c r="O136"/>
      <c r="P136"/>
      <c r="Q136"/>
      <c r="R136"/>
      <c r="S136"/>
      <c r="T136"/>
      <c r="U136"/>
      <c r="V136"/>
      <c r="W136"/>
      <c r="X136"/>
      <c r="Y136"/>
      <c r="Z136"/>
      <c r="AA136" s="191"/>
      <c r="AB136" s="191"/>
    </row>
    <row r="137" spans="1:28" s="193" customFormat="1" x14ac:dyDescent="0.25">
      <c r="B137" s="199" t="str">
        <f t="shared" ca="1" si="2"/>
        <v>1. HVAC Design Review</v>
      </c>
      <c r="C137" s="361" t="str">
        <f>'1. HVAC Design Review'!$B$64&amp;"_Field"</f>
        <v>Does the unique identifier for the building that the Home is in match the HVAC design?_Field</v>
      </c>
      <c r="D137" s="96" t="str">
        <f>'1. HVAC Design Review'!P89</f>
        <v>Yes</v>
      </c>
      <c r="E137" s="141"/>
      <c r="F137" s="141" t="str">
        <f>'1. HVAC Design Review'!$S$64</f>
        <v>4.3.3.1</v>
      </c>
      <c r="H137"/>
      <c r="I137"/>
      <c r="J137"/>
      <c r="K137"/>
      <c r="L137"/>
      <c r="M137"/>
      <c r="N137"/>
      <c r="O137"/>
      <c r="P137"/>
      <c r="Q137"/>
      <c r="R137"/>
      <c r="S137"/>
      <c r="T137"/>
      <c r="U137"/>
      <c r="V137"/>
      <c r="W137"/>
      <c r="X137"/>
      <c r="Y137"/>
      <c r="Z137"/>
      <c r="AA137" s="191"/>
      <c r="AB137" s="191"/>
    </row>
    <row r="138" spans="1:28" s="193" customFormat="1" x14ac:dyDescent="0.25">
      <c r="B138" s="199" t="str">
        <f t="shared" ca="1" si="2"/>
        <v>1. HVAC Design Review</v>
      </c>
      <c r="C138" s="361" t="str">
        <f>'1. HVAC Design Review'!$B$65&amp;"_Field"</f>
        <v>Does the name of the plan for the Home match the HVAC design?_Field</v>
      </c>
      <c r="D138" s="96">
        <f>'1. HVAC Design Review'!P90</f>
        <v>0</v>
      </c>
      <c r="E138" s="141"/>
      <c r="F138" s="141" t="str">
        <f>'1. HVAC Design Review'!$S$65</f>
        <v>4.3.3.2</v>
      </c>
      <c r="AA138" s="191"/>
      <c r="AB138" s="191"/>
    </row>
    <row r="139" spans="1:28" s="193" customFormat="1" x14ac:dyDescent="0.25">
      <c r="B139" s="199" t="str">
        <f t="shared" ca="1" si="2"/>
        <v>1. HVAC Design Review</v>
      </c>
      <c r="C139" s="199" t="str">
        <f>'1. HVAC Design Review'!$B$66&amp;"_Field"</f>
        <v>Do the options used in the Home match those in the HVAC design, 
or are they listed in the options the HVAC design can be used with?_Field</v>
      </c>
      <c r="D139" s="96">
        <f>'1. HVAC Design Review'!P91</f>
        <v>0</v>
      </c>
      <c r="E139" s="141"/>
      <c r="F139" s="141" t="str">
        <f>'1. HVAC Design Review'!$S$66</f>
        <v>4.3.3.3</v>
      </c>
      <c r="AA139" s="191"/>
      <c r="AB139" s="191"/>
    </row>
    <row r="140" spans="1:28" s="193" customFormat="1" x14ac:dyDescent="0.25">
      <c r="B140" s="199" t="str">
        <f t="shared" ca="1" si="2"/>
        <v>1. HVAC Design Review</v>
      </c>
      <c r="C140" s="366" t="str">
        <f>'1. HVAC Design Review'!$B$20&amp;'1. HVAC Design Review'!$B$21&amp;"Zone 1"&amp;"_Field"</f>
        <v>Conditioned Floor Area of Heating / Cooling ZonesHVAC DesignZone 1_Field</v>
      </c>
      <c r="D140" s="97">
        <f>'1. HVAC Design Review'!N95</f>
        <v>0</v>
      </c>
      <c r="E140" s="141" t="str">
        <f>'1. HVAC Design Review'!$R$70</f>
        <v xml:space="preserve">Sq. Ft. </v>
      </c>
      <c r="F140" s="141" t="str">
        <f>'1. HVAC Design Review'!$S$69</f>
        <v>4.3.3.4</v>
      </c>
      <c r="AA140" s="191"/>
      <c r="AB140" s="191"/>
    </row>
    <row r="141" spans="1:28" s="193" customFormat="1" x14ac:dyDescent="0.25">
      <c r="B141" s="199" t="str">
        <f t="shared" ca="1" si="2"/>
        <v>1. HVAC Design Review</v>
      </c>
      <c r="C141" s="366" t="str">
        <f>'1. HVAC Design Review'!$B$20&amp;'1. HVAC Design Review'!$B$22&amp;"Zone 1"&amp;"_Field"</f>
        <v>Conditioned Floor Area of Heating / Cooling ZonesHomeZone 1_Field</v>
      </c>
      <c r="D141" s="97">
        <f>'1. HVAC Design Review'!N96</f>
        <v>0</v>
      </c>
      <c r="E141" s="141" t="str">
        <f>'1. HVAC Design Review'!$R$71</f>
        <v xml:space="preserve">Sq. Ft. </v>
      </c>
      <c r="F141" s="141" t="str">
        <f>'1. HVAC Design Review'!$S$69</f>
        <v>4.3.3.4</v>
      </c>
      <c r="AA141" s="191"/>
      <c r="AB141" s="191"/>
    </row>
    <row r="142" spans="1:28" x14ac:dyDescent="0.25">
      <c r="A142" s="193"/>
      <c r="B142" s="199" t="str">
        <f t="shared" ca="1" si="2"/>
        <v>1. HVAC Design Review</v>
      </c>
      <c r="C142" s="366" t="str">
        <f>'1. HVAC Design Review'!$B$20&amp;'1. HVAC Design Review'!$B$23&amp;"Zone 1"&amp;"_Field"</f>
        <v>Conditioned Floor Area of Heating / Cooling ZonesHome is between 300 sq. ft. smaller &amp; 100 sq. ft.  larger than HVAC design?Zone 1_Field</v>
      </c>
      <c r="D142" s="141">
        <f>'1. HVAC Design Review'!N97</f>
        <v>0</v>
      </c>
      <c r="E142" s="141"/>
      <c r="F142" s="141" t="str">
        <f>'1. HVAC Design Review'!$S$69</f>
        <v>4.3.3.4</v>
      </c>
    </row>
    <row r="143" spans="1:28" x14ac:dyDescent="0.25">
      <c r="A143" s="193"/>
      <c r="B143" s="199" t="str">
        <f t="shared" ca="1" si="2"/>
        <v>1. HVAC Design Review</v>
      </c>
      <c r="C143" s="366" t="str">
        <f>'1. HVAC Design Review'!$B$20&amp;'1. HVAC Design Review'!$B$21&amp;"Zone 2"&amp;"_Field"</f>
        <v>Conditioned Floor Area of Heating / Cooling ZonesHVAC DesignZone 2_Field</v>
      </c>
      <c r="D143" s="97">
        <f>'1. HVAC Design Review'!O95</f>
        <v>0</v>
      </c>
      <c r="E143" s="141" t="str">
        <f>'1. HVAC Design Review'!$R$70</f>
        <v xml:space="preserve">Sq. Ft. </v>
      </c>
      <c r="F143" s="141" t="str">
        <f>'1. HVAC Design Review'!$S$69</f>
        <v>4.3.3.4</v>
      </c>
    </row>
    <row r="144" spans="1:28" x14ac:dyDescent="0.25">
      <c r="B144" s="199" t="str">
        <f t="shared" ca="1" si="2"/>
        <v>1. HVAC Design Review</v>
      </c>
      <c r="C144" s="366" t="str">
        <f>'1. HVAC Design Review'!$B$20&amp;'1. HVAC Design Review'!$B$22&amp;"Zone 2"&amp;"_Field"</f>
        <v>Conditioned Floor Area of Heating / Cooling ZonesHomeZone 2_Field</v>
      </c>
      <c r="D144" s="97">
        <f>'1. HVAC Design Review'!O96</f>
        <v>0</v>
      </c>
      <c r="E144" s="141" t="str">
        <f>'1. HVAC Design Review'!$R$71</f>
        <v xml:space="preserve">Sq. Ft. </v>
      </c>
      <c r="F144" s="141" t="str">
        <f>'1. HVAC Design Review'!$S$69</f>
        <v>4.3.3.4</v>
      </c>
    </row>
    <row r="145" spans="2:6" x14ac:dyDescent="0.25">
      <c r="B145" s="199" t="str">
        <f t="shared" ca="1" si="2"/>
        <v>1. HVAC Design Review</v>
      </c>
      <c r="C145" s="366" t="str">
        <f>'1. HVAC Design Review'!$B$20&amp;'1. HVAC Design Review'!$B$23&amp;"Zone 2"&amp;"_Field"</f>
        <v>Conditioned Floor Area of Heating / Cooling ZonesHome is between 300 sq. ft. smaller &amp; 100 sq. ft.  larger than HVAC design?Zone 2_Field</v>
      </c>
      <c r="D145" s="141">
        <f>'1. HVAC Design Review'!O97</f>
        <v>0</v>
      </c>
      <c r="E145" s="141"/>
      <c r="F145" s="141" t="str">
        <f>'1. HVAC Design Review'!$S$69</f>
        <v>4.3.3.4</v>
      </c>
    </row>
    <row r="146" spans="2:6" x14ac:dyDescent="0.25">
      <c r="B146" s="199" t="str">
        <f t="shared" ca="1" si="2"/>
        <v>1. HVAC Design Review</v>
      </c>
      <c r="C146" s="366" t="str">
        <f>'1. HVAC Design Review'!$B$20&amp;'1. HVAC Design Review'!$B$21&amp;"Zone 3"&amp;"_Field"</f>
        <v>Conditioned Floor Area of Heating / Cooling ZonesHVAC DesignZone 3_Field</v>
      </c>
      <c r="D146" s="97">
        <f>'1. HVAC Design Review'!P95</f>
        <v>0</v>
      </c>
      <c r="E146" s="141" t="str">
        <f>'1. HVAC Design Review'!$R$70</f>
        <v xml:space="preserve">Sq. Ft. </v>
      </c>
      <c r="F146" s="141" t="str">
        <f>'1. HVAC Design Review'!$S$69</f>
        <v>4.3.3.4</v>
      </c>
    </row>
    <row r="147" spans="2:6" x14ac:dyDescent="0.25">
      <c r="B147" s="199" t="str">
        <f t="shared" ca="1" si="2"/>
        <v>1. HVAC Design Review</v>
      </c>
      <c r="C147" s="366" t="str">
        <f>'1. HVAC Design Review'!$B$20&amp;'1. HVAC Design Review'!$B$22&amp;"Zone 3"&amp;"_Field"</f>
        <v>Conditioned Floor Area of Heating / Cooling ZonesHomeZone 3_Field</v>
      </c>
      <c r="D147" s="97">
        <f>'1. HVAC Design Review'!P96</f>
        <v>0</v>
      </c>
      <c r="E147" s="141" t="str">
        <f>'1. HVAC Design Review'!$R$71</f>
        <v xml:space="preserve">Sq. Ft. </v>
      </c>
      <c r="F147" s="141" t="str">
        <f>'1. HVAC Design Review'!$S$69</f>
        <v>4.3.3.4</v>
      </c>
    </row>
    <row r="148" spans="2:6" x14ac:dyDescent="0.25">
      <c r="B148" s="199" t="str">
        <f t="shared" ca="1" si="2"/>
        <v>1. HVAC Design Review</v>
      </c>
      <c r="C148" s="366" t="str">
        <f>'1. HVAC Design Review'!$B$20&amp;'1. HVAC Design Review'!$B$23&amp;"Zone 3"&amp;"_Field"</f>
        <v>Conditioned Floor Area of Heating / Cooling ZonesHome is between 300 sq. ft. smaller &amp; 100 sq. ft.  larger than HVAC design?Zone 3_Field</v>
      </c>
      <c r="D148" s="141">
        <f>'1. HVAC Design Review'!P97</f>
        <v>0</v>
      </c>
      <c r="E148" s="141"/>
      <c r="F148" s="141" t="str">
        <f>'1. HVAC Design Review'!$S$69</f>
        <v>4.3.3.4</v>
      </c>
    </row>
    <row r="149" spans="2:6" x14ac:dyDescent="0.25">
      <c r="B149" s="199" t="str">
        <f t="shared" ca="1" si="2"/>
        <v>1. HVAC Design Review</v>
      </c>
      <c r="C149" s="366" t="str">
        <f>'1. HVAC Design Review'!$B$25&amp;'1. HVAC Design Review'!$B$26&amp;"Zone 1"&amp;"_Field"</f>
        <v>Window Area of Heating / Cooling ZonesHVAC DesignZone 1_Field</v>
      </c>
      <c r="D149" s="97">
        <f>'1. HVAC Design Review'!N100</f>
        <v>0</v>
      </c>
      <c r="E149" s="141" t="str">
        <f>'1. HVAC Design Review'!$R$75</f>
        <v xml:space="preserve">Sq. Ft. </v>
      </c>
      <c r="F149" s="141" t="str">
        <f>'1. HVAC Design Review'!$S$74</f>
        <v>4.3.3.5</v>
      </c>
    </row>
    <row r="150" spans="2:6" x14ac:dyDescent="0.25">
      <c r="B150" s="199" t="str">
        <f t="shared" ca="1" si="2"/>
        <v>1. HVAC Design Review</v>
      </c>
      <c r="C150" s="366" t="str">
        <f>'1. HVAC Design Review'!$B$25&amp;'1. HVAC Design Review'!$B$22&amp;"Zone 1"&amp;"_Field"</f>
        <v>Window Area of Heating / Cooling ZonesHomeZone 1_Field</v>
      </c>
      <c r="D150" s="97" t="str">
        <f>'1. HVAC Design Review'!N101</f>
        <v>Zone 1</v>
      </c>
      <c r="E150" s="141" t="str">
        <f>'1. HVAC Design Review'!$R$76</f>
        <v xml:space="preserve">Sq. Ft. </v>
      </c>
      <c r="F150" s="141" t="str">
        <f>'1. HVAC Design Review'!$S$74</f>
        <v>4.3.3.5</v>
      </c>
    </row>
    <row r="151" spans="2:6" x14ac:dyDescent="0.25">
      <c r="B151" s="199" t="str">
        <f t="shared" ca="1" si="2"/>
        <v>1. HVAC Design Review</v>
      </c>
      <c r="C151" s="366" t="str">
        <f>'1. HVAC Design Review'!$B$25&amp;'1. HVAC Design Review'!$B$77&amp;"Zone 1"&amp;"_Field"</f>
        <v>Window Area of Heating / Cooling ZonesHome is between 60 sq. ft. smaller &amp; 15 sq. ft. larger than HVAC design, 
or for zones with &gt; 500 sq. ft. of windows, between 12% smaller and 3% larger?Zone 1_Field</v>
      </c>
      <c r="D151" s="141">
        <f>'1. HVAC Design Review'!N102</f>
        <v>0</v>
      </c>
      <c r="E151" s="141"/>
      <c r="F151" s="141" t="str">
        <f>'1. HVAC Design Review'!$S$74</f>
        <v>4.3.3.5</v>
      </c>
    </row>
    <row r="152" spans="2:6" x14ac:dyDescent="0.25">
      <c r="B152" s="199" t="str">
        <f t="shared" ca="1" si="2"/>
        <v>1. HVAC Design Review</v>
      </c>
      <c r="C152" s="366" t="str">
        <f>'1. HVAC Design Review'!$B$25&amp;'1. HVAC Design Review'!$B$26&amp;"Zone 2"&amp;"_Field"</f>
        <v>Window Area of Heating / Cooling ZonesHVAC DesignZone 2_Field</v>
      </c>
      <c r="D152" s="97">
        <f>'1. HVAC Design Review'!O100</f>
        <v>0</v>
      </c>
      <c r="E152" s="141" t="str">
        <f>'1. HVAC Design Review'!$R$75</f>
        <v xml:space="preserve">Sq. Ft. </v>
      </c>
      <c r="F152" s="141" t="str">
        <f>'1. HVAC Design Review'!$S$74</f>
        <v>4.3.3.5</v>
      </c>
    </row>
    <row r="153" spans="2:6" x14ac:dyDescent="0.25">
      <c r="B153" s="199" t="str">
        <f t="shared" ca="1" si="2"/>
        <v>1. HVAC Design Review</v>
      </c>
      <c r="C153" s="366" t="str">
        <f>'1. HVAC Design Review'!$B$25&amp;'1. HVAC Design Review'!$B$22&amp;"Zone 2"&amp;"_Field"</f>
        <v>Window Area of Heating / Cooling ZonesHomeZone 2_Field</v>
      </c>
      <c r="D153" s="97" t="str">
        <f>'1. HVAC Design Review'!O101</f>
        <v>Zone 2</v>
      </c>
      <c r="E153" s="141" t="str">
        <f>'1. HVAC Design Review'!$R$76</f>
        <v xml:space="preserve">Sq. Ft. </v>
      </c>
      <c r="F153" s="141" t="str">
        <f>'1. HVAC Design Review'!$S$74</f>
        <v>4.3.3.5</v>
      </c>
    </row>
    <row r="154" spans="2:6" x14ac:dyDescent="0.25">
      <c r="B154" s="199" t="str">
        <f t="shared" ca="1" si="2"/>
        <v>1. HVAC Design Review</v>
      </c>
      <c r="C154" s="366" t="str">
        <f>'1. HVAC Design Review'!$B$25&amp;'1. HVAC Design Review'!$B$77&amp;"Zone 2"&amp;"_Field"</f>
        <v>Window Area of Heating / Cooling ZonesHome is between 60 sq. ft. smaller &amp; 15 sq. ft. larger than HVAC design, 
or for zones with &gt; 500 sq. ft. of windows, between 12% smaller and 3% larger?Zone 2_Field</v>
      </c>
      <c r="D154" s="141">
        <f>'1. HVAC Design Review'!O102</f>
        <v>0</v>
      </c>
      <c r="E154" s="141"/>
      <c r="F154" s="141" t="str">
        <f>'1. HVAC Design Review'!$S$74</f>
        <v>4.3.3.5</v>
      </c>
    </row>
    <row r="155" spans="2:6" x14ac:dyDescent="0.25">
      <c r="B155" s="199" t="str">
        <f t="shared" ca="1" si="2"/>
        <v>1. HVAC Design Review</v>
      </c>
      <c r="C155" s="366" t="str">
        <f>'1. HVAC Design Review'!$B$25&amp;'1. HVAC Design Review'!$B$26&amp;"Zone 3"&amp;"_Field"</f>
        <v>Window Area of Heating / Cooling ZonesHVAC DesignZone 3_Field</v>
      </c>
      <c r="D155" s="97">
        <f>'1. HVAC Design Review'!P100</f>
        <v>0</v>
      </c>
      <c r="E155" s="141" t="str">
        <f>'1. HVAC Design Review'!$R$75</f>
        <v xml:space="preserve">Sq. Ft. </v>
      </c>
      <c r="F155" s="141" t="str">
        <f>'1. HVAC Design Review'!$S$74</f>
        <v>4.3.3.5</v>
      </c>
    </row>
    <row r="156" spans="2:6" x14ac:dyDescent="0.25">
      <c r="B156" s="199" t="str">
        <f t="shared" ref="B156:B219" ca="1" si="3">MID(CELL("filename",INDIRECT(RIGHT(_xlfn.FORMULATEXT(D156),LEN(_xlfn.FORMULATEXT(D156))-1),TRUE)),FIND("]",CELL("filename",INDIRECT(RIGHT(_xlfn.FORMULATEXT(D156),LEN(_xlfn.FORMULATEXT(D156))-1),TRUE)))+1,255)</f>
        <v>1. HVAC Design Review</v>
      </c>
      <c r="C156" s="366" t="str">
        <f>'1. HVAC Design Review'!$B$25&amp;'1. HVAC Design Review'!$B$22&amp;"Zone 3"&amp;"_Field"</f>
        <v>Window Area of Heating / Cooling ZonesHomeZone 3_Field</v>
      </c>
      <c r="D156" s="97" t="str">
        <f>'1. HVAC Design Review'!P101</f>
        <v>Zone 3</v>
      </c>
      <c r="E156" s="141" t="str">
        <f>'1. HVAC Design Review'!$R$76</f>
        <v xml:space="preserve">Sq. Ft. </v>
      </c>
      <c r="F156" s="141" t="str">
        <f>'1. HVAC Design Review'!$S$74</f>
        <v>4.3.3.5</v>
      </c>
    </row>
    <row r="157" spans="2:6" x14ac:dyDescent="0.25">
      <c r="B157" s="199" t="str">
        <f t="shared" ca="1" si="3"/>
        <v>1. HVAC Design Review</v>
      </c>
      <c r="C157" s="366" t="str">
        <f>'1. HVAC Design Review'!$B$25&amp;'1. HVAC Design Review'!$B$77&amp;"Zone 3"&amp;"_Field"</f>
        <v>Window Area of Heating / Cooling ZonesHome is between 60 sq. ft. smaller &amp; 15 sq. ft. larger than HVAC design, 
or for zones with &gt; 500 sq. ft. of windows, between 12% smaller and 3% larger?Zone 3_Field</v>
      </c>
      <c r="D157" s="141">
        <f>'1. HVAC Design Review'!P102</f>
        <v>0</v>
      </c>
      <c r="E157" s="141"/>
      <c r="F157" s="141" t="str">
        <f>'1. HVAC Design Review'!$S$74</f>
        <v>4.3.3.5</v>
      </c>
    </row>
    <row r="158" spans="2:6" x14ac:dyDescent="0.25">
      <c r="B158" s="199" t="str">
        <f t="shared" ca="1" si="3"/>
        <v>1. HVAC Design Review</v>
      </c>
      <c r="C158" s="200" t="str">
        <f>'1. HVAC Design Review'!$B$31&amp;'1. HVAC Design Review'!$B$81&amp;"Zone 1"&amp;"_Field"</f>
        <v>Heating / Cooling Loads Methodology and OrientationsIn HVAC Design, is the max. minus min. total heat gain across orientations ≤ 6 kBtuh?Zone 1_Field</v>
      </c>
      <c r="D158" s="141" t="str">
        <f>'1. HVAC Design Review'!N106</f>
        <v>Zone 1</v>
      </c>
      <c r="E158" s="141"/>
      <c r="F158" s="141" t="str">
        <f>'1. HVAC Design Review'!$S$81</f>
        <v>4.3.3.7</v>
      </c>
    </row>
    <row r="159" spans="2:6" x14ac:dyDescent="0.25">
      <c r="B159" s="199" t="str">
        <f t="shared" ca="1" si="3"/>
        <v>1. HVAC Design Review</v>
      </c>
      <c r="C159" s="200" t="str">
        <f>'1. HVAC Design Review'!$B$31&amp;'1. HVAC Design Review'!$B$81&amp;"Zone 2"&amp;"_Field"</f>
        <v>Heating / Cooling Loads Methodology and OrientationsIn HVAC Design, is the max. minus min. total heat gain across orientations ≤ 6 kBtuh?Zone 2_Field</v>
      </c>
      <c r="D159" s="141" t="str">
        <f>'1. HVAC Design Review'!O106</f>
        <v>Zone 2</v>
      </c>
      <c r="E159" s="141"/>
      <c r="F159" s="141" t="str">
        <f>'1. HVAC Design Review'!$S$81</f>
        <v>4.3.3.7</v>
      </c>
    </row>
    <row r="160" spans="2:6" x14ac:dyDescent="0.25">
      <c r="B160" s="199" t="str">
        <f t="shared" ca="1" si="3"/>
        <v>1. HVAC Design Review</v>
      </c>
      <c r="C160" s="200" t="str">
        <f>'1. HVAC Design Review'!$B$31&amp;'1. HVAC Design Review'!$B$81&amp;"Zone 3"&amp;"_Field"</f>
        <v>Heating / Cooling Loads Methodology and OrientationsIn HVAC Design, is the max. minus min. total heat gain across orientations ≤ 6 kBtuh?Zone 3_Field</v>
      </c>
      <c r="D160" s="141" t="str">
        <f>'1. HVAC Design Review'!P106</f>
        <v>Zone 3</v>
      </c>
      <c r="E160" s="141"/>
      <c r="F160" s="141" t="str">
        <f>'1. HVAC Design Review'!$S$81</f>
        <v>4.3.3.7</v>
      </c>
    </row>
    <row r="161" spans="2:6" x14ac:dyDescent="0.25">
      <c r="B161" s="199" t="str">
        <f t="shared" ca="1" si="3"/>
        <v>1. HVAC Design Review</v>
      </c>
      <c r="C161" s="199" t="str">
        <f>'1. HVAC Design Review'!$B$83&amp;"_Field"</f>
        <v>Does front orientation of the Home match one of the orientations in the HVAC design?_Field</v>
      </c>
      <c r="D161" s="96">
        <f>'1. HVAC Design Review'!P108</f>
        <v>0</v>
      </c>
      <c r="E161" s="141"/>
      <c r="F161" s="141" t="str">
        <f>'1. HVAC Design Review'!$S$83</f>
        <v>4.3.3.6</v>
      </c>
    </row>
    <row r="162" spans="2:6" x14ac:dyDescent="0.25">
      <c r="B162" s="199" t="str">
        <f t="shared" ca="1" si="3"/>
        <v>1. HVAC Design Review</v>
      </c>
      <c r="C162" s="199" t="str">
        <f>'1. HVAC Design Review'!$A$85&amp;'1. HVAC Design Review'!$N$85</f>
        <v>For All Dwellings, Townhouses, Dwelling Units, and Sleeping UnitsComplete this section?</v>
      </c>
      <c r="D162" s="97" t="str">
        <f>'1. HVAC Design Review'!P85</f>
        <v>Yes</v>
      </c>
      <c r="E162" s="141"/>
      <c r="F162" s="141"/>
    </row>
    <row r="163" spans="2:6" x14ac:dyDescent="0.25">
      <c r="B163" s="199" t="str">
        <f t="shared" ca="1" si="3"/>
        <v>1. HVAC Design Review</v>
      </c>
      <c r="C163" s="199" t="str">
        <f>'1. HVAC Design Review'!$A$85&amp;'1. HVAC Design Review'!$O$86</f>
        <v xml:space="preserve">For All Dwellings, Townhouses, Dwelling Units, and Sleeping UnitsRequired data inputs provided? </v>
      </c>
      <c r="D163" s="97" t="str">
        <f>'1. HVAC Design Review'!P86</f>
        <v>No</v>
      </c>
      <c r="E163" s="141"/>
      <c r="F163" s="141"/>
    </row>
    <row r="164" spans="2:6" x14ac:dyDescent="0.25">
      <c r="B164" s="199" t="str">
        <f t="shared" ca="1" si="3"/>
        <v>1. HVAC Design Review</v>
      </c>
      <c r="C164" s="361" t="str">
        <f>'1. HVAC Design Review'!$B$89&amp;"_Plan"</f>
        <v>Has all required design documentation been collected, or an IVR obtained? _Plan</v>
      </c>
      <c r="D164" s="96" t="str">
        <f>'1. HVAC Design Review'!K89</f>
        <v>Yes</v>
      </c>
      <c r="E164" s="141"/>
      <c r="F164" s="141">
        <f>'1. HVAC Design Review'!$S$89</f>
        <v>4.3</v>
      </c>
    </row>
    <row r="165" spans="2:6" x14ac:dyDescent="0.25">
      <c r="B165" s="199" t="str">
        <f t="shared" ca="1" si="3"/>
        <v>1. HVAC Design Review</v>
      </c>
      <c r="C165" s="361" t="str">
        <f>'1. HVAC Design Review'!$B$92&amp;"_Plan"</f>
        <v>Are indoor design temps in HVAC design 70°F for heating season &amp; 75°F for cooling season?_Plan</v>
      </c>
      <c r="D165" s="96" t="str">
        <f>'1. HVAC Design Review'!K92</f>
        <v>Yes</v>
      </c>
      <c r="E165" s="141"/>
      <c r="F165" s="141" t="str">
        <f>'1. HVAC Design Review'!$S$92</f>
        <v>4.3.5</v>
      </c>
    </row>
    <row r="166" spans="2:6" x14ac:dyDescent="0.25">
      <c r="B166" s="199" t="str">
        <f t="shared" ca="1" si="3"/>
        <v>1. HVAC Design Review</v>
      </c>
      <c r="C166" s="361" t="str">
        <f>'1. HVAC Design Review'!$B$93&amp;"_Plan"</f>
        <v>Are outdoor design temps in HVAC design within limits defined in Appendix A?_Plan</v>
      </c>
      <c r="D166" s="96" t="str">
        <f>'1. HVAC Design Review'!K93</f>
        <v>Yes</v>
      </c>
      <c r="E166" s="141"/>
      <c r="F166" s="141" t="str">
        <f>'1. HVAC Design Review'!$S$93</f>
        <v>4.3.6</v>
      </c>
    </row>
    <row r="167" spans="2:6" x14ac:dyDescent="0.25">
      <c r="B167" s="199" t="str">
        <f t="shared" ca="1" si="3"/>
        <v>1. HVAC Design Review</v>
      </c>
      <c r="C167" s="366" t="str">
        <f>'1. HVAC Design Review'!$B$96&amp;"_Plan"</f>
        <v>Number of occupants used in HVAC design across all zones:_Plan</v>
      </c>
      <c r="D167" s="97">
        <f>'1. HVAC Design Review'!K96</f>
        <v>0</v>
      </c>
      <c r="E167" s="141"/>
      <c r="F167" s="141" t="str">
        <f>'1. HVAC Design Review'!$S$95</f>
        <v>4.3.7</v>
      </c>
    </row>
    <row r="168" spans="2:6" x14ac:dyDescent="0.25">
      <c r="B168" s="199" t="str">
        <f t="shared" ca="1" si="3"/>
        <v>1. HVAC Design Review</v>
      </c>
      <c r="C168" s="366" t="str">
        <f>'1. HVAC Design Review'!$B$97&amp;"_Plan"</f>
        <v>Number of bedrooms in Home:_Plan</v>
      </c>
      <c r="D168" s="97">
        <f>'1. HVAC Design Review'!K97</f>
        <v>0</v>
      </c>
      <c r="E168" s="141"/>
      <c r="F168" s="141" t="str">
        <f>'1. HVAC Design Review'!$S$95</f>
        <v>4.3.7</v>
      </c>
    </row>
    <row r="169" spans="2:6" x14ac:dyDescent="0.25">
      <c r="B169" s="199" t="str">
        <f t="shared" ca="1" si="3"/>
        <v>1. HVAC Design Review</v>
      </c>
      <c r="C169" s="366" t="str">
        <f>'1. HVAC Design Review'!$B$98&amp;"_Plan"</f>
        <v>Number of occupants in Home:_Plan</v>
      </c>
      <c r="D169" s="363">
        <f>'1. HVAC Design Review'!K98</f>
        <v>1</v>
      </c>
      <c r="E169" s="141"/>
      <c r="F169" s="141" t="str">
        <f>'1. HVAC Design Review'!$S$95</f>
        <v>4.3.7</v>
      </c>
    </row>
    <row r="170" spans="2:6" x14ac:dyDescent="0.25">
      <c r="B170" s="199" t="str">
        <f t="shared" ca="1" si="3"/>
        <v>1. HVAC Design Review</v>
      </c>
      <c r="C170" s="366" t="str">
        <f>'1. HVAC Design Review'!$B$99&amp;"_Plan"</f>
        <v>Number of occupants in Home within ±2 of occupants in HVAC Design?_Plan</v>
      </c>
      <c r="D170" s="362" t="str">
        <f>'1. HVAC Design Review'!K99</f>
        <v>Yes</v>
      </c>
      <c r="E170" s="141"/>
      <c r="F170" s="141" t="str">
        <f>'1. HVAC Design Review'!$S$95</f>
        <v>4.3.7</v>
      </c>
    </row>
    <row r="171" spans="2:6" x14ac:dyDescent="0.25">
      <c r="B171" s="199" t="str">
        <f t="shared" ca="1" si="3"/>
        <v>1. HVAC Design Review</v>
      </c>
      <c r="C171" s="366" t="str">
        <f>'1. HVAC Design Review'!$B$101&amp;'1. HVAC Design Review'!$B$102&amp;"Zone 1"&amp;"_Plan"</f>
        <v>Window SHGCPredominant window SHGC in HVAC designZone 1_Plan</v>
      </c>
      <c r="D171" s="364">
        <f>'1. HVAC Design Review'!I102</f>
        <v>0</v>
      </c>
      <c r="E171" s="141"/>
      <c r="F171" s="141" t="str">
        <f>'1. HVAC Design Review'!$S$101</f>
        <v>4.3.8</v>
      </c>
    </row>
    <row r="172" spans="2:6" x14ac:dyDescent="0.25">
      <c r="B172" s="199" t="str">
        <f t="shared" ca="1" si="3"/>
        <v>1. HVAC Design Review</v>
      </c>
      <c r="C172" s="366" t="str">
        <f>'1. HVAC Design Review'!$B$101&amp;'1. HVAC Design Review'!$B$103&amp;"Zone 1"&amp;"_Plan"</f>
        <v>Window SHGCPredominant window SHGC in HomeZone 1_Plan</v>
      </c>
      <c r="D172" s="364">
        <f>'1. HVAC Design Review'!I103</f>
        <v>0</v>
      </c>
      <c r="E172" s="141"/>
      <c r="F172" s="141" t="str">
        <f>'1. HVAC Design Review'!$S$101</f>
        <v>4.3.8</v>
      </c>
    </row>
    <row r="173" spans="2:6" x14ac:dyDescent="0.25">
      <c r="B173" s="199" t="str">
        <f t="shared" ca="1" si="3"/>
        <v>1. HVAC Design Review</v>
      </c>
      <c r="C173" s="366" t="str">
        <f>'1. HVAC Design Review'!$B$101&amp;'1. HVAC Design Review'!$B$104&amp;"Zone 1"&amp;"_Plan"</f>
        <v>Window SHGCHome is within ±0.1 of HVAC design?Zone 1_Plan</v>
      </c>
      <c r="D173" s="141" t="str">
        <f>'1. HVAC Design Review'!I104</f>
        <v>Yes</v>
      </c>
      <c r="E173" s="141"/>
      <c r="F173" s="141" t="str">
        <f>'1. HVAC Design Review'!$S$101</f>
        <v>4.3.8</v>
      </c>
    </row>
    <row r="174" spans="2:6" x14ac:dyDescent="0.25">
      <c r="B174" s="199" t="str">
        <f t="shared" ca="1" si="3"/>
        <v>1. HVAC Design Review</v>
      </c>
      <c r="C174" s="366" t="str">
        <f>'1. HVAC Design Review'!$B$101&amp;'1. HVAC Design Review'!$B$102&amp;"Zone 2"&amp;"_Plan"</f>
        <v>Window SHGCPredominant window SHGC in HVAC designZone 2_Plan</v>
      </c>
      <c r="D174" s="364">
        <f>'1. HVAC Design Review'!J102</f>
        <v>0</v>
      </c>
      <c r="E174" s="141"/>
      <c r="F174" s="141" t="str">
        <f>'1. HVAC Design Review'!$S$101</f>
        <v>4.3.8</v>
      </c>
    </row>
    <row r="175" spans="2:6" x14ac:dyDescent="0.25">
      <c r="B175" s="199" t="str">
        <f t="shared" ca="1" si="3"/>
        <v>1. HVAC Design Review</v>
      </c>
      <c r="C175" s="366" t="str">
        <f>'1. HVAC Design Review'!$B$101&amp;'1. HVAC Design Review'!$B$103&amp;"Zone 2"&amp;"_Plan"</f>
        <v>Window SHGCPredominant window SHGC in HomeZone 2_Plan</v>
      </c>
      <c r="D175" s="364">
        <f>'1. HVAC Design Review'!J103</f>
        <v>0</v>
      </c>
      <c r="E175" s="141"/>
      <c r="F175" s="141" t="str">
        <f>'1. HVAC Design Review'!$S$101</f>
        <v>4.3.8</v>
      </c>
    </row>
    <row r="176" spans="2:6" x14ac:dyDescent="0.25">
      <c r="B176" s="199" t="str">
        <f t="shared" ca="1" si="3"/>
        <v>1. HVAC Design Review</v>
      </c>
      <c r="C176" s="366" t="str">
        <f>'1. HVAC Design Review'!$B$101&amp;'1. HVAC Design Review'!$B$104&amp;"Zone 2"&amp;"_Plan"</f>
        <v>Window SHGCHome is within ±0.1 of HVAC design?Zone 2_Plan</v>
      </c>
      <c r="D176" s="141" t="str">
        <f>'1. HVAC Design Review'!J104</f>
        <v>Yes</v>
      </c>
      <c r="E176" s="141"/>
      <c r="F176" s="141" t="str">
        <f>'1. HVAC Design Review'!$S$101</f>
        <v>4.3.8</v>
      </c>
    </row>
    <row r="177" spans="2:6" x14ac:dyDescent="0.25">
      <c r="B177" s="199" t="str">
        <f t="shared" ca="1" si="3"/>
        <v>1. HVAC Design Review</v>
      </c>
      <c r="C177" s="366" t="str">
        <f>'1. HVAC Design Review'!$B$101&amp;'1. HVAC Design Review'!$B$102&amp;"Zone 3"&amp;"_Plan"</f>
        <v>Window SHGCPredominant window SHGC in HVAC designZone 3_Plan</v>
      </c>
      <c r="D177" s="364">
        <f>'1. HVAC Design Review'!K102</f>
        <v>0</v>
      </c>
      <c r="E177" s="141"/>
      <c r="F177" s="141" t="str">
        <f>'1. HVAC Design Review'!$S$101</f>
        <v>4.3.8</v>
      </c>
    </row>
    <row r="178" spans="2:6" x14ac:dyDescent="0.25">
      <c r="B178" s="199" t="str">
        <f t="shared" ca="1" si="3"/>
        <v>1. HVAC Design Review</v>
      </c>
      <c r="C178" s="366" t="str">
        <f>'1. HVAC Design Review'!$B$101&amp;'1. HVAC Design Review'!$B$103&amp;"Zone 3"&amp;"_Plan"</f>
        <v>Window SHGCPredominant window SHGC in HomeZone 3_Plan</v>
      </c>
      <c r="D178" s="364">
        <f>'1. HVAC Design Review'!K103</f>
        <v>0</v>
      </c>
      <c r="E178" s="141"/>
      <c r="F178" s="141" t="str">
        <f>'1. HVAC Design Review'!$S$101</f>
        <v>4.3.8</v>
      </c>
    </row>
    <row r="179" spans="2:6" x14ac:dyDescent="0.25">
      <c r="B179" s="199" t="str">
        <f t="shared" ca="1" si="3"/>
        <v>1. HVAC Design Review</v>
      </c>
      <c r="C179" s="366" t="str">
        <f>'1. HVAC Design Review'!$B$101&amp;'1. HVAC Design Review'!$B$104&amp;"Zone 3"&amp;"_Plan"</f>
        <v>Window SHGCHome is within ±0.1 of HVAC design?Zone 3_Plan</v>
      </c>
      <c r="D179" s="141" t="str">
        <f>'1. HVAC Design Review'!K104</f>
        <v>Yes</v>
      </c>
      <c r="E179" s="141"/>
      <c r="F179" s="141" t="str">
        <f>'1. HVAC Design Review'!$S$101</f>
        <v>4.3.8</v>
      </c>
    </row>
    <row r="180" spans="2:6" x14ac:dyDescent="0.25">
      <c r="B180" s="199" t="str">
        <f t="shared" ca="1" si="3"/>
        <v>1. HVAC Design Review</v>
      </c>
      <c r="C180" s="366" t="str">
        <f>'1. HVAC Design Review'!$B$106&amp;'1. HVAC Design Review'!$B$107&amp;"Zone 1"&amp;"_Plan"</f>
        <v>Above-Grade Wall Nominal R-ValuePredominant wall R-value in HVAC designZone 1_Plan</v>
      </c>
      <c r="D180" s="97">
        <f>'1. HVAC Design Review'!I107</f>
        <v>0</v>
      </c>
      <c r="E180" s="141"/>
      <c r="F180" s="141" t="str">
        <f>'1. HVAC Design Review'!$S$106</f>
        <v>4.3.9</v>
      </c>
    </row>
    <row r="181" spans="2:6" x14ac:dyDescent="0.25">
      <c r="B181" s="199" t="str">
        <f t="shared" ca="1" si="3"/>
        <v>1. HVAC Design Review</v>
      </c>
      <c r="C181" s="366" t="str">
        <f>'1. HVAC Design Review'!$B$106&amp;'1. HVAC Design Review'!$B$108&amp;"Zone 1"&amp;"_Plan"</f>
        <v>Above-Grade Wall Nominal R-ValuePredominant wall R-value in HomeZone 1_Plan</v>
      </c>
      <c r="D181" s="97">
        <f>'1. HVAC Design Review'!I108</f>
        <v>0</v>
      </c>
      <c r="E181" s="141"/>
      <c r="F181" s="141" t="str">
        <f>'1. HVAC Design Review'!$S$106</f>
        <v>4.3.9</v>
      </c>
    </row>
    <row r="182" spans="2:6" x14ac:dyDescent="0.25">
      <c r="B182" s="199" t="str">
        <f t="shared" ca="1" si="3"/>
        <v>1. HVAC Design Review</v>
      </c>
      <c r="C182" s="366" t="str">
        <f>'1. HVAC Design Review'!$B$106&amp;'1. HVAC Design Review'!$B$109&amp;"Zone 1"&amp;"_Plan"</f>
        <v>Above-Grade Wall Nominal R-ValueHome is within ±R-2 of HVAC design?Zone 1_Plan</v>
      </c>
      <c r="D182" s="141" t="str">
        <f>'1. HVAC Design Review'!I109</f>
        <v>Yes</v>
      </c>
      <c r="E182" s="141"/>
      <c r="F182" s="141" t="str">
        <f>'1. HVAC Design Review'!$S$106</f>
        <v>4.3.9</v>
      </c>
    </row>
    <row r="183" spans="2:6" x14ac:dyDescent="0.25">
      <c r="B183" s="199" t="str">
        <f t="shared" ca="1" si="3"/>
        <v>1. HVAC Design Review</v>
      </c>
      <c r="C183" s="366" t="str">
        <f>'1. HVAC Design Review'!$B$106&amp;'1. HVAC Design Review'!$B$107&amp;"Zone 2"&amp;"_Plan"</f>
        <v>Above-Grade Wall Nominal R-ValuePredominant wall R-value in HVAC designZone 2_Plan</v>
      </c>
      <c r="D183" s="97">
        <f>'1. HVAC Design Review'!J107</f>
        <v>0</v>
      </c>
      <c r="E183" s="141"/>
      <c r="F183" s="141" t="str">
        <f>'1. HVAC Design Review'!$S$106</f>
        <v>4.3.9</v>
      </c>
    </row>
    <row r="184" spans="2:6" x14ac:dyDescent="0.25">
      <c r="B184" s="199" t="str">
        <f t="shared" ca="1" si="3"/>
        <v>1. HVAC Design Review</v>
      </c>
      <c r="C184" s="366" t="str">
        <f>'1. HVAC Design Review'!$B$106&amp;'1. HVAC Design Review'!$B$108&amp;"Zone 2"&amp;"_Plan"</f>
        <v>Above-Grade Wall Nominal R-ValuePredominant wall R-value in HomeZone 2_Plan</v>
      </c>
      <c r="D184" s="97">
        <f>'1. HVAC Design Review'!J108</f>
        <v>0</v>
      </c>
      <c r="E184" s="141"/>
      <c r="F184" s="141" t="str">
        <f>'1. HVAC Design Review'!$S$106</f>
        <v>4.3.9</v>
      </c>
    </row>
    <row r="185" spans="2:6" x14ac:dyDescent="0.25">
      <c r="B185" s="199" t="str">
        <f t="shared" ca="1" si="3"/>
        <v>1. HVAC Design Review</v>
      </c>
      <c r="C185" s="366" t="str">
        <f>'1. HVAC Design Review'!$B$106&amp;'1. HVAC Design Review'!$B$109&amp;"Zone 2"&amp;"_Plan"</f>
        <v>Above-Grade Wall Nominal R-ValueHome is within ±R-2 of HVAC design?Zone 2_Plan</v>
      </c>
      <c r="D185" s="141" t="str">
        <f>'1. HVAC Design Review'!J109</f>
        <v>Yes</v>
      </c>
      <c r="E185" s="141"/>
      <c r="F185" s="141" t="str">
        <f>'1. HVAC Design Review'!$S$106</f>
        <v>4.3.9</v>
      </c>
    </row>
    <row r="186" spans="2:6" x14ac:dyDescent="0.25">
      <c r="B186" s="199" t="str">
        <f t="shared" ca="1" si="3"/>
        <v>1. HVAC Design Review</v>
      </c>
      <c r="C186" s="366" t="str">
        <f>'1. HVAC Design Review'!$B$106&amp;'1. HVAC Design Review'!$B$107&amp;"Zone 3"&amp;"_Plan"</f>
        <v>Above-Grade Wall Nominal R-ValuePredominant wall R-value in HVAC designZone 3_Plan</v>
      </c>
      <c r="D186" s="97">
        <f>'1. HVAC Design Review'!K107</f>
        <v>0</v>
      </c>
      <c r="E186" s="141"/>
      <c r="F186" s="141" t="str">
        <f>'1. HVAC Design Review'!$S$106</f>
        <v>4.3.9</v>
      </c>
    </row>
    <row r="187" spans="2:6" x14ac:dyDescent="0.25">
      <c r="B187" s="199" t="str">
        <f t="shared" ca="1" si="3"/>
        <v>1. HVAC Design Review</v>
      </c>
      <c r="C187" s="366" t="str">
        <f>'1. HVAC Design Review'!$B$106&amp;'1. HVAC Design Review'!$B$108&amp;"Zone 3"&amp;"_Plan"</f>
        <v>Above-Grade Wall Nominal R-ValuePredominant wall R-value in HomeZone 3_Plan</v>
      </c>
      <c r="D187" s="97">
        <f>'1. HVAC Design Review'!K108</f>
        <v>0</v>
      </c>
      <c r="E187" s="141"/>
      <c r="F187" s="141" t="str">
        <f>'1. HVAC Design Review'!$S$106</f>
        <v>4.3.9</v>
      </c>
    </row>
    <row r="188" spans="2:6" x14ac:dyDescent="0.25">
      <c r="B188" s="199" t="str">
        <f t="shared" ca="1" si="3"/>
        <v>1. HVAC Design Review</v>
      </c>
      <c r="C188" s="366" t="str">
        <f>'1. HVAC Design Review'!$B$106&amp;'1. HVAC Design Review'!$B$109&amp;"Zone 3"&amp;"_Plan"</f>
        <v>Above-Grade Wall Nominal R-ValueHome is within ±R-2 of HVAC design?Zone 3_Plan</v>
      </c>
      <c r="D188" s="141" t="str">
        <f>'1. HVAC Design Review'!K109</f>
        <v>Yes</v>
      </c>
      <c r="E188" s="141"/>
      <c r="F188" s="141" t="str">
        <f>'1. HVAC Design Review'!$S$106</f>
        <v>4.3.9</v>
      </c>
    </row>
    <row r="189" spans="2:6" x14ac:dyDescent="0.25">
      <c r="B189" s="199" t="str">
        <f t="shared" ca="1" si="3"/>
        <v>1. HVAC Design Review</v>
      </c>
      <c r="C189" s="366" t="str">
        <f>'1. HVAC Design Review'!$B$111&amp;'1. HVAC Design Review'!$B$112&amp;"Zone 1"&amp;"_Plan"</f>
        <v>Ceiling Nominal R-ValuePredominant ceiling R-value in HVAC designZone 1_Plan</v>
      </c>
      <c r="D189" s="97">
        <f>'1. HVAC Design Review'!I112</f>
        <v>0</v>
      </c>
      <c r="E189" s="141"/>
      <c r="F189" s="141" t="str">
        <f>'1. HVAC Design Review'!$S$111</f>
        <v>4.3.10</v>
      </c>
    </row>
    <row r="190" spans="2:6" x14ac:dyDescent="0.25">
      <c r="B190" s="199" t="str">
        <f t="shared" ca="1" si="3"/>
        <v>1. HVAC Design Review</v>
      </c>
      <c r="C190" s="366" t="str">
        <f>'1. HVAC Design Review'!$B$111&amp;'1. HVAC Design Review'!$B$113&amp;"Zone 1"&amp;"_Plan"</f>
        <v>Ceiling Nominal R-ValuePredominant ceiling R-value in HomeZone 1_Plan</v>
      </c>
      <c r="D190" s="97">
        <f>'1. HVAC Design Review'!I113</f>
        <v>0</v>
      </c>
      <c r="E190" s="141"/>
      <c r="F190" s="141" t="str">
        <f>'1. HVAC Design Review'!$S$111</f>
        <v>4.3.10</v>
      </c>
    </row>
    <row r="191" spans="2:6" x14ac:dyDescent="0.25">
      <c r="B191" s="199" t="str">
        <f t="shared" ca="1" si="3"/>
        <v>1. HVAC Design Review</v>
      </c>
      <c r="C191" s="366" t="str">
        <f>'1. HVAC Design Review'!$B$111&amp;'1. HVAC Design Review'!$B$114&amp;"Zone 1"&amp;"_Plan"</f>
        <v>Ceiling Nominal R-ValueHome is within ±R-4 of HVAC design?Zone 1_Plan</v>
      </c>
      <c r="D191" s="141" t="str">
        <f>'1. HVAC Design Review'!I114</f>
        <v>Yes</v>
      </c>
      <c r="E191" s="141"/>
      <c r="F191" s="141" t="str">
        <f>'1. HVAC Design Review'!$S$111</f>
        <v>4.3.10</v>
      </c>
    </row>
    <row r="192" spans="2:6" x14ac:dyDescent="0.25">
      <c r="B192" s="199" t="str">
        <f t="shared" ca="1" si="3"/>
        <v>1. HVAC Design Review</v>
      </c>
      <c r="C192" s="366" t="str">
        <f>'1. HVAC Design Review'!$B$111&amp;'1. HVAC Design Review'!$B$112&amp;"Zone 2"&amp;"_Plan"</f>
        <v>Ceiling Nominal R-ValuePredominant ceiling R-value in HVAC designZone 2_Plan</v>
      </c>
      <c r="D192" s="97">
        <f>'1. HVAC Design Review'!J112</f>
        <v>0</v>
      </c>
      <c r="E192" s="141"/>
      <c r="F192" s="141" t="str">
        <f>'1. HVAC Design Review'!$S$111</f>
        <v>4.3.10</v>
      </c>
    </row>
    <row r="193" spans="2:6" x14ac:dyDescent="0.25">
      <c r="B193" s="199" t="str">
        <f t="shared" ca="1" si="3"/>
        <v>1. HVAC Design Review</v>
      </c>
      <c r="C193" s="366" t="str">
        <f>'1. HVAC Design Review'!$B$111&amp;'1. HVAC Design Review'!$B$113&amp;"Zone 2"&amp;"_Plan"</f>
        <v>Ceiling Nominal R-ValuePredominant ceiling R-value in HomeZone 2_Plan</v>
      </c>
      <c r="D193" s="97">
        <f>'1. HVAC Design Review'!J113</f>
        <v>0</v>
      </c>
      <c r="E193" s="141"/>
      <c r="F193" s="141" t="str">
        <f>'1. HVAC Design Review'!$S$111</f>
        <v>4.3.10</v>
      </c>
    </row>
    <row r="194" spans="2:6" x14ac:dyDescent="0.25">
      <c r="B194" s="199" t="str">
        <f t="shared" ca="1" si="3"/>
        <v>1. HVAC Design Review</v>
      </c>
      <c r="C194" s="366" t="str">
        <f>'1. HVAC Design Review'!$B$111&amp;'1. HVAC Design Review'!$B$114&amp;"Zone 2"&amp;"_Plan"</f>
        <v>Ceiling Nominal R-ValueHome is within ±R-4 of HVAC design?Zone 2_Plan</v>
      </c>
      <c r="D194" s="141" t="str">
        <f>'1. HVAC Design Review'!J114</f>
        <v>Yes</v>
      </c>
      <c r="E194" s="141"/>
      <c r="F194" s="141" t="str">
        <f>'1. HVAC Design Review'!$S$111</f>
        <v>4.3.10</v>
      </c>
    </row>
    <row r="195" spans="2:6" x14ac:dyDescent="0.25">
      <c r="B195" s="199" t="str">
        <f t="shared" ca="1" si="3"/>
        <v>1. HVAC Design Review</v>
      </c>
      <c r="C195" s="366" t="str">
        <f>'1. HVAC Design Review'!$B$111&amp;'1. HVAC Design Review'!$B$112&amp;"Zone 3"&amp;"_Plan"</f>
        <v>Ceiling Nominal R-ValuePredominant ceiling R-value in HVAC designZone 3_Plan</v>
      </c>
      <c r="D195" s="97">
        <f>'1. HVAC Design Review'!K112</f>
        <v>0</v>
      </c>
      <c r="E195" s="141"/>
      <c r="F195" s="141" t="str">
        <f>'1. HVAC Design Review'!$S$111</f>
        <v>4.3.10</v>
      </c>
    </row>
    <row r="196" spans="2:6" x14ac:dyDescent="0.25">
      <c r="B196" s="199" t="str">
        <f t="shared" ca="1" si="3"/>
        <v>1. HVAC Design Review</v>
      </c>
      <c r="C196" s="366" t="str">
        <f>'1. HVAC Design Review'!$B$111&amp;'1. HVAC Design Review'!$B$113&amp;"Zone 3"&amp;"_Plan"</f>
        <v>Ceiling Nominal R-ValuePredominant ceiling R-value in HomeZone 3_Plan</v>
      </c>
      <c r="D196" s="97">
        <f>'1. HVAC Design Review'!K113</f>
        <v>0</v>
      </c>
      <c r="E196" s="141"/>
      <c r="F196" s="141" t="str">
        <f>'1. HVAC Design Review'!$S$111</f>
        <v>4.3.10</v>
      </c>
    </row>
    <row r="197" spans="2:6" x14ac:dyDescent="0.25">
      <c r="B197" s="199" t="str">
        <f t="shared" ca="1" si="3"/>
        <v>1. HVAC Design Review</v>
      </c>
      <c r="C197" s="366" t="str">
        <f>'1. HVAC Design Review'!$B$111&amp;'1. HVAC Design Review'!$B$114&amp;"Zone 3"&amp;"_Plan"</f>
        <v>Ceiling Nominal R-ValueHome is within ±R-4 of HVAC design?Zone 3_Plan</v>
      </c>
      <c r="D197" s="141" t="str">
        <f>'1. HVAC Design Review'!K114</f>
        <v>Yes</v>
      </c>
      <c r="E197" s="141"/>
      <c r="F197" s="141" t="str">
        <f>'1. HVAC Design Review'!$S$111</f>
        <v>4.3.10</v>
      </c>
    </row>
    <row r="198" spans="2:6" x14ac:dyDescent="0.25">
      <c r="B198" s="199" t="str">
        <f t="shared" ca="1" si="3"/>
        <v>1. HVAC Design Review</v>
      </c>
      <c r="C198" s="366" t="str">
        <f>'1. HVAC Design Review'!$B$117&amp;'1. HVAC Design Review'!$B$118&amp;"Zone 1"&amp;"_Plan"</f>
        <v>Using Quantitative HVAC Design ValueInfiltration rate used in HVAC designZone 1_Plan</v>
      </c>
      <c r="D198" s="365">
        <f>'1. HVAC Design Review'!I118</f>
        <v>0</v>
      </c>
      <c r="E198" s="141" t="str">
        <f>'1. HVAC Design Review'!$R$118</f>
        <v>ACH50</v>
      </c>
      <c r="F198" s="141" t="str">
        <f>'1. HVAC Design Review'!$S$116</f>
        <v>4.3.11</v>
      </c>
    </row>
    <row r="199" spans="2:6" x14ac:dyDescent="0.25">
      <c r="B199" s="199" t="str">
        <f t="shared" ca="1" si="3"/>
        <v>1. HVAC Design Review</v>
      </c>
      <c r="C199" s="366" t="str">
        <f>'1. HVAC Design Review'!$B$117&amp;'1. HVAC Design Review'!$B$119&amp;"Zone 1"&amp;"_Plan"</f>
        <v>Using Quantitative HVAC Design ValueInfiltration rate of HomeZone 1_Plan</v>
      </c>
      <c r="D199" s="365">
        <f>'1. HVAC Design Review'!I119</f>
        <v>0</v>
      </c>
      <c r="E199" s="141" t="str">
        <f>'1. HVAC Design Review'!$R$119</f>
        <v>ACH50</v>
      </c>
      <c r="F199" s="141" t="str">
        <f>'1. HVAC Design Review'!$S$116</f>
        <v>4.3.11</v>
      </c>
    </row>
    <row r="200" spans="2:6" x14ac:dyDescent="0.25">
      <c r="B200" s="199" t="str">
        <f t="shared" ca="1" si="3"/>
        <v>1. HVAC Design Review</v>
      </c>
      <c r="C200" s="366" t="str">
        <f>'1. HVAC Design Review'!$B$117&amp;'1. HVAC Design Review'!$B$120&amp;"Zone 1"&amp;"_Plan"</f>
        <v>Using Quantitative HVAC Design ValueHome is within ±2.0 of HVAC design?Zone 1_Plan</v>
      </c>
      <c r="D200" s="141" t="str">
        <f>'1. HVAC Design Review'!I120</f>
        <v>Yes</v>
      </c>
      <c r="E200" s="141"/>
      <c r="F200" s="141" t="str">
        <f>'1. HVAC Design Review'!$S$116</f>
        <v>4.3.11</v>
      </c>
    </row>
    <row r="201" spans="2:6" x14ac:dyDescent="0.25">
      <c r="B201" s="199" t="str">
        <f t="shared" ca="1" si="3"/>
        <v>1. HVAC Design Review</v>
      </c>
      <c r="C201" s="366" t="str">
        <f>'1. HVAC Design Review'!$B$117&amp;'1. HVAC Design Review'!$B$118&amp;"Zone 2"&amp;"_Plan"</f>
        <v>Using Quantitative HVAC Design ValueInfiltration rate used in HVAC designZone 2_Plan</v>
      </c>
      <c r="D201" s="365">
        <f>'1. HVAC Design Review'!J118</f>
        <v>0</v>
      </c>
      <c r="E201" s="141" t="str">
        <f>'1. HVAC Design Review'!$R$118</f>
        <v>ACH50</v>
      </c>
      <c r="F201" s="141" t="str">
        <f>'1. HVAC Design Review'!$S$116</f>
        <v>4.3.11</v>
      </c>
    </row>
    <row r="202" spans="2:6" x14ac:dyDescent="0.25">
      <c r="B202" s="199" t="str">
        <f t="shared" ca="1" si="3"/>
        <v>1. HVAC Design Review</v>
      </c>
      <c r="C202" s="366" t="str">
        <f>'1. HVAC Design Review'!$B$117&amp;'1. HVAC Design Review'!$B$119&amp;"Zone 2"&amp;"_Plan"</f>
        <v>Using Quantitative HVAC Design ValueInfiltration rate of HomeZone 2_Plan</v>
      </c>
      <c r="D202" s="365">
        <f>'1. HVAC Design Review'!J119</f>
        <v>0</v>
      </c>
      <c r="E202" s="141" t="str">
        <f>'1. HVAC Design Review'!$R$119</f>
        <v>ACH50</v>
      </c>
      <c r="F202" s="141" t="str">
        <f>'1. HVAC Design Review'!$S$116</f>
        <v>4.3.11</v>
      </c>
    </row>
    <row r="203" spans="2:6" x14ac:dyDescent="0.25">
      <c r="B203" s="199" t="str">
        <f t="shared" ca="1" si="3"/>
        <v>1. HVAC Design Review</v>
      </c>
      <c r="C203" s="366" t="str">
        <f>'1. HVAC Design Review'!$B$117&amp;'1. HVAC Design Review'!$B$120&amp;"Zone 2"&amp;"_Plan"</f>
        <v>Using Quantitative HVAC Design ValueHome is within ±2.0 of HVAC design?Zone 2_Plan</v>
      </c>
      <c r="D203" s="141" t="str">
        <f>'1. HVAC Design Review'!J120</f>
        <v>Yes</v>
      </c>
      <c r="E203" s="141"/>
      <c r="F203" s="141" t="str">
        <f>'1. HVAC Design Review'!$S$116</f>
        <v>4.3.11</v>
      </c>
    </row>
    <row r="204" spans="2:6" x14ac:dyDescent="0.25">
      <c r="B204" s="199" t="str">
        <f t="shared" ca="1" si="3"/>
        <v>1. HVAC Design Review</v>
      </c>
      <c r="C204" s="366" t="str">
        <f>'1. HVAC Design Review'!$B$117&amp;'1. HVAC Design Review'!$B$118&amp;"Zone 3"&amp;"_Plan"</f>
        <v>Using Quantitative HVAC Design ValueInfiltration rate used in HVAC designZone 3_Plan</v>
      </c>
      <c r="D204" s="365">
        <f>'1. HVAC Design Review'!K118</f>
        <v>0</v>
      </c>
      <c r="E204" s="141" t="str">
        <f>'1. HVAC Design Review'!$R$118</f>
        <v>ACH50</v>
      </c>
      <c r="F204" s="141" t="str">
        <f>'1. HVAC Design Review'!$S$116</f>
        <v>4.3.11</v>
      </c>
    </row>
    <row r="205" spans="2:6" x14ac:dyDescent="0.25">
      <c r="B205" s="199" t="str">
        <f t="shared" ca="1" si="3"/>
        <v>1. HVAC Design Review</v>
      </c>
      <c r="C205" s="366" t="str">
        <f>'1. HVAC Design Review'!$B$117&amp;'1. HVAC Design Review'!$B$119&amp;"Zone 3"&amp;"_Plan"</f>
        <v>Using Quantitative HVAC Design ValueInfiltration rate of HomeZone 3_Plan</v>
      </c>
      <c r="D205" s="365">
        <f>'1. HVAC Design Review'!K119</f>
        <v>0</v>
      </c>
      <c r="E205" s="141" t="str">
        <f>'1. HVAC Design Review'!$R$119</f>
        <v>ACH50</v>
      </c>
      <c r="F205" s="141" t="str">
        <f>'1. HVAC Design Review'!$S$116</f>
        <v>4.3.11</v>
      </c>
    </row>
    <row r="206" spans="2:6" x14ac:dyDescent="0.25">
      <c r="B206" s="199" t="str">
        <f t="shared" ca="1" si="3"/>
        <v>1. HVAC Design Review</v>
      </c>
      <c r="C206" s="366" t="str">
        <f>'1. HVAC Design Review'!$B$117&amp;'1. HVAC Design Review'!$B$120&amp;"Zone 3"&amp;"_Plan"</f>
        <v>Using Quantitative HVAC Design ValueHome is within ±2.0 of HVAC design?Zone 3_Plan</v>
      </c>
      <c r="D206" s="141" t="str">
        <f>'1. HVAC Design Review'!K120</f>
        <v>Yes</v>
      </c>
      <c r="E206" s="141"/>
      <c r="F206" s="141" t="str">
        <f>'1. HVAC Design Review'!$S$116</f>
        <v>4.3.11</v>
      </c>
    </row>
    <row r="207" spans="2:6" x14ac:dyDescent="0.25">
      <c r="B207" s="199" t="str">
        <f t="shared" ca="1" si="3"/>
        <v>1. HVAC Design Review</v>
      </c>
      <c r="C207" s="366" t="str">
        <f>'1. HVAC Design Review'!$B$122&amp;'1. HVAC Design Review'!$B$123&amp;"Zone 1"&amp;"_Plan"</f>
        <v>Using Qualitative HVAC Design ValueInfiltration rate used in HVAC designZone 1_Plan</v>
      </c>
      <c r="D207" s="365" t="str">
        <f>'1. HVAC Design Review'!I123</f>
        <v>N/A</v>
      </c>
      <c r="E207" s="141"/>
      <c r="F207" s="141" t="str">
        <f>'1. HVAC Design Review'!$S$116</f>
        <v>4.3.11</v>
      </c>
    </row>
    <row r="208" spans="2:6" x14ac:dyDescent="0.25">
      <c r="B208" s="199" t="str">
        <f t="shared" ca="1" si="3"/>
        <v>1. HVAC Design Review</v>
      </c>
      <c r="C208" s="366" t="str">
        <f>'1. HVAC Design Review'!$B$122&amp;'1. HVAC Design Review'!$B$124&amp;"Zone 1"&amp;"_Plan"</f>
        <v>Using Qualitative HVAC Design ValueInfiltration rate of HomeZone 1_Plan</v>
      </c>
      <c r="D208" s="365">
        <f>'1. HVAC Design Review'!I124</f>
        <v>0</v>
      </c>
      <c r="E208" s="141" t="str">
        <f>'1. HVAC Design Review'!$R$124</f>
        <v>ACH50</v>
      </c>
      <c r="F208" s="141" t="str">
        <f>'1. HVAC Design Review'!$S$116</f>
        <v>4.3.11</v>
      </c>
    </row>
    <row r="209" spans="2:6" x14ac:dyDescent="0.25">
      <c r="B209" s="199" t="str">
        <f t="shared" ca="1" si="3"/>
        <v>1. HVAC Design Review</v>
      </c>
      <c r="C209" s="366" t="str">
        <f>'1. HVAC Design Review'!$B$122&amp;'1. HVAC Design Review'!$B$125&amp;"Zone 1"&amp;"_Plan"</f>
        <v>Using Qualitative HVAC Design ValueHome is within Table 1 tolerance for input used in HVAC design?Zone 1_Plan</v>
      </c>
      <c r="D209" s="141" t="str">
        <f>'1. HVAC Design Review'!I125</f>
        <v>N/A</v>
      </c>
      <c r="E209" s="141"/>
      <c r="F209" s="141" t="str">
        <f>'1. HVAC Design Review'!$S$116</f>
        <v>4.3.11</v>
      </c>
    </row>
    <row r="210" spans="2:6" x14ac:dyDescent="0.25">
      <c r="B210" s="199" t="str">
        <f t="shared" ca="1" si="3"/>
        <v>1. HVAC Design Review</v>
      </c>
      <c r="C210" s="366" t="str">
        <f>'1. HVAC Design Review'!$B$122&amp;'1. HVAC Design Review'!$B$123&amp;"Zone 2"&amp;"_Plan"</f>
        <v>Using Qualitative HVAC Design ValueInfiltration rate used in HVAC designZone 2_Plan</v>
      </c>
      <c r="D210" s="365" t="str">
        <f>'1. HVAC Design Review'!J123</f>
        <v>N/A</v>
      </c>
      <c r="E210" s="141"/>
      <c r="F210" s="141" t="str">
        <f>'1. HVAC Design Review'!$S$116</f>
        <v>4.3.11</v>
      </c>
    </row>
    <row r="211" spans="2:6" x14ac:dyDescent="0.25">
      <c r="B211" s="199" t="str">
        <f t="shared" ca="1" si="3"/>
        <v>1. HVAC Design Review</v>
      </c>
      <c r="C211" s="366" t="str">
        <f>'1. HVAC Design Review'!$B$122&amp;'1. HVAC Design Review'!$B$124&amp;"Zone 2"&amp;"_Plan"</f>
        <v>Using Qualitative HVAC Design ValueInfiltration rate of HomeZone 2_Plan</v>
      </c>
      <c r="D211" s="365">
        <f>'1. HVAC Design Review'!J124</f>
        <v>0</v>
      </c>
      <c r="E211" s="141" t="str">
        <f>'1. HVAC Design Review'!$R$124</f>
        <v>ACH50</v>
      </c>
      <c r="F211" s="141" t="str">
        <f>'1. HVAC Design Review'!$S$116</f>
        <v>4.3.11</v>
      </c>
    </row>
    <row r="212" spans="2:6" x14ac:dyDescent="0.25">
      <c r="B212" s="199" t="str">
        <f t="shared" ca="1" si="3"/>
        <v>1. HVAC Design Review</v>
      </c>
      <c r="C212" s="366" t="str">
        <f>'1. HVAC Design Review'!$B$122&amp;'1. HVAC Design Review'!$B$125&amp;"Zone 2"&amp;"_Plan"</f>
        <v>Using Qualitative HVAC Design ValueHome is within Table 1 tolerance for input used in HVAC design?Zone 2_Plan</v>
      </c>
      <c r="D212" s="141" t="str">
        <f>'1. HVAC Design Review'!J125</f>
        <v>N/A</v>
      </c>
      <c r="E212" s="141"/>
      <c r="F212" s="141" t="str">
        <f>'1. HVAC Design Review'!$S$116</f>
        <v>4.3.11</v>
      </c>
    </row>
    <row r="213" spans="2:6" x14ac:dyDescent="0.25">
      <c r="B213" s="199" t="str">
        <f t="shared" ca="1" si="3"/>
        <v>1. HVAC Design Review</v>
      </c>
      <c r="C213" s="366" t="str">
        <f>'1. HVAC Design Review'!$B$122&amp;'1. HVAC Design Review'!$B$123&amp;"Zone 3"&amp;"_Plan"</f>
        <v>Using Qualitative HVAC Design ValueInfiltration rate used in HVAC designZone 3_Plan</v>
      </c>
      <c r="D213" s="365" t="str">
        <f>'1. HVAC Design Review'!K123</f>
        <v>N/A</v>
      </c>
      <c r="E213" s="141"/>
      <c r="F213" s="141" t="str">
        <f>'1. HVAC Design Review'!$S$116</f>
        <v>4.3.11</v>
      </c>
    </row>
    <row r="214" spans="2:6" x14ac:dyDescent="0.25">
      <c r="B214" s="199" t="str">
        <f t="shared" ca="1" si="3"/>
        <v>1. HVAC Design Review</v>
      </c>
      <c r="C214" s="366" t="str">
        <f>'1. HVAC Design Review'!$B$122&amp;'1. HVAC Design Review'!$B$124&amp;"Zone 3"&amp;"_Plan"</f>
        <v>Using Qualitative HVAC Design ValueInfiltration rate of HomeZone 3_Plan</v>
      </c>
      <c r="D214" s="365">
        <f>'1. HVAC Design Review'!K124</f>
        <v>0</v>
      </c>
      <c r="E214" s="141" t="str">
        <f>'1. HVAC Design Review'!$R$124</f>
        <v>ACH50</v>
      </c>
      <c r="F214" s="141" t="str">
        <f>'1. HVAC Design Review'!$S$116</f>
        <v>4.3.11</v>
      </c>
    </row>
    <row r="215" spans="2:6" x14ac:dyDescent="0.25">
      <c r="B215" s="199" t="str">
        <f t="shared" ca="1" si="3"/>
        <v>1. HVAC Design Review</v>
      </c>
      <c r="C215" s="366" t="str">
        <f>'1. HVAC Design Review'!$B$122&amp;'1. HVAC Design Review'!$B$125&amp;"Zone 3"&amp;"_Plan"</f>
        <v>Using Qualitative HVAC Design ValueHome is within Table 1 tolerance for input used in HVAC design?Zone 3_Plan</v>
      </c>
      <c r="D215" s="141" t="str">
        <f>'1. HVAC Design Review'!K125</f>
        <v>N/A</v>
      </c>
      <c r="E215" s="141"/>
      <c r="F215" s="141" t="str">
        <f>'1. HVAC Design Review'!$S$116</f>
        <v>4.3.11</v>
      </c>
    </row>
    <row r="216" spans="2:6" x14ac:dyDescent="0.25">
      <c r="B216" s="199" t="str">
        <f t="shared" ca="1" si="3"/>
        <v>1. HVAC Design Review</v>
      </c>
      <c r="C216" s="366" t="str">
        <f>'1. HVAC Design Review'!$B$127&amp;'1. HVAC Design Review'!$B$128&amp;"Zone 1"&amp;"_Plan"</f>
        <v>Mechanical Ventilation System Design Airflow RateHVAC design's time-averaged vent. rate, for each ventilation zoneZone 1_Plan</v>
      </c>
      <c r="D216" s="365">
        <f>'1. HVAC Design Review'!I128</f>
        <v>0</v>
      </c>
      <c r="E216" s="141"/>
      <c r="F216" s="141" t="str">
        <f>'1. HVAC Design Review'!$S$127</f>
        <v>4.3.12</v>
      </c>
    </row>
    <row r="217" spans="2:6" x14ac:dyDescent="0.25">
      <c r="B217" s="199" t="str">
        <f t="shared" ca="1" si="3"/>
        <v>1. HVAC Design Review</v>
      </c>
      <c r="C217" s="366" t="str">
        <f>'1. HVAC Design Review'!$B$127&amp;'1. HVAC Design Review'!$B$129&amp;"Zone 1"&amp;"_Plan"</f>
        <v>Mechanical Ventilation System Design Airflow RateHVAC design's time-averaged vent. rate used in loads, for each heating / cooling zone Zone 1_Plan</v>
      </c>
      <c r="D217" s="365">
        <f>'1. HVAC Design Review'!I129</f>
        <v>0</v>
      </c>
      <c r="E217" s="141"/>
      <c r="F217" s="141" t="str">
        <f>'1. HVAC Design Review'!$S$127</f>
        <v>4.3.12</v>
      </c>
    </row>
    <row r="218" spans="2:6" x14ac:dyDescent="0.25">
      <c r="B218" s="199" t="str">
        <f t="shared" ca="1" si="3"/>
        <v>1. HVAC Design Review</v>
      </c>
      <c r="C218" s="366" t="str">
        <f>'1. HVAC Design Review'!$B$127&amp;'1. HVAC Design Review'!$B$128&amp;"Zone 2"&amp;"_Plan"</f>
        <v>Mechanical Ventilation System Design Airflow RateHVAC design's time-averaged vent. rate, for each ventilation zoneZone 2_Plan</v>
      </c>
      <c r="D218" s="365">
        <f>'1. HVAC Design Review'!J128</f>
        <v>0</v>
      </c>
      <c r="E218" s="141"/>
      <c r="F218" s="141" t="str">
        <f>'1. HVAC Design Review'!$S$127</f>
        <v>4.3.12</v>
      </c>
    </row>
    <row r="219" spans="2:6" x14ac:dyDescent="0.25">
      <c r="B219" s="199" t="str">
        <f t="shared" ca="1" si="3"/>
        <v>1. HVAC Design Review</v>
      </c>
      <c r="C219" s="366" t="str">
        <f>'1. HVAC Design Review'!$B$127&amp;'1. HVAC Design Review'!$B$129&amp;"Zone 2"&amp;"_Plan"</f>
        <v>Mechanical Ventilation System Design Airflow RateHVAC design's time-averaged vent. rate used in loads, for each heating / cooling zone Zone 2_Plan</v>
      </c>
      <c r="D219" s="365">
        <f>'1. HVAC Design Review'!J129</f>
        <v>0</v>
      </c>
      <c r="E219" s="141"/>
      <c r="F219" s="141" t="str">
        <f>'1. HVAC Design Review'!$S$127</f>
        <v>4.3.12</v>
      </c>
    </row>
    <row r="220" spans="2:6" x14ac:dyDescent="0.25">
      <c r="B220" s="199" t="str">
        <f t="shared" ref="B220:B283" ca="1" si="4">MID(CELL("filename",INDIRECT(RIGHT(_xlfn.FORMULATEXT(D220),LEN(_xlfn.FORMULATEXT(D220))-1),TRUE)),FIND("]",CELL("filename",INDIRECT(RIGHT(_xlfn.FORMULATEXT(D220),LEN(_xlfn.FORMULATEXT(D220))-1),TRUE)))+1,255)</f>
        <v>1. HVAC Design Review</v>
      </c>
      <c r="C220" s="366" t="str">
        <f>'1. HVAC Design Review'!$B$127&amp;'1. HVAC Design Review'!$B$128&amp;"Zone 3"&amp;"_Plan"</f>
        <v>Mechanical Ventilation System Design Airflow RateHVAC design's time-averaged vent. rate, for each ventilation zoneZone 3_Plan</v>
      </c>
      <c r="D220" s="365">
        <f>'1. HVAC Design Review'!K128</f>
        <v>0</v>
      </c>
      <c r="E220" s="141"/>
      <c r="F220" s="141" t="str">
        <f>'1. HVAC Design Review'!$S$127</f>
        <v>4.3.12</v>
      </c>
    </row>
    <row r="221" spans="2:6" x14ac:dyDescent="0.25">
      <c r="B221" s="199" t="str">
        <f t="shared" ca="1" si="4"/>
        <v>1. HVAC Design Review</v>
      </c>
      <c r="C221" s="366" t="str">
        <f>'1. HVAC Design Review'!$B$127&amp;'1. HVAC Design Review'!$B$129&amp;"Zone 3"&amp;"_Plan"</f>
        <v>Mechanical Ventilation System Design Airflow RateHVAC design's time-averaged vent. rate used in loads, for each heating / cooling zone Zone 3_Plan</v>
      </c>
      <c r="D221" s="365">
        <f>'1. HVAC Design Review'!K129</f>
        <v>0</v>
      </c>
      <c r="E221" s="141"/>
      <c r="F221" s="141" t="str">
        <f>'1. HVAC Design Review'!$S$127</f>
        <v>4.3.12</v>
      </c>
    </row>
    <row r="222" spans="2:6" x14ac:dyDescent="0.25">
      <c r="B222" s="199" t="str">
        <f t="shared" ca="1" si="4"/>
        <v>1. HVAC Design Review</v>
      </c>
      <c r="C222" s="199" t="str">
        <f>'1. HVAC Design Review'!$B$131&amp;"_Plan"</f>
        <v>Is the sum of the time-averaged design vent. rate across all vent. zones equal to the sum of the time-averaged design vent. rate used in the loads across all heated / cooled zones?_Plan</v>
      </c>
      <c r="D222" s="141" t="str">
        <f>'1. HVAC Design Review'!K131</f>
        <v>Yes</v>
      </c>
      <c r="E222" s="141"/>
      <c r="F222" s="141" t="str">
        <f>'1. HVAC Design Review'!$S$127</f>
        <v>4.3.12</v>
      </c>
    </row>
    <row r="223" spans="2:6" x14ac:dyDescent="0.25">
      <c r="B223" s="199" t="str">
        <f t="shared" ca="1" si="4"/>
        <v>1. HVAC Design Review</v>
      </c>
      <c r="C223" s="199" t="str">
        <f>'1. HVAC Design Review'!$B$135&amp;"_Plan"</f>
        <v>Does each HVAC system in the Home serve the zone(s) specified in the HVAC design?_Plan</v>
      </c>
      <c r="D223" s="96" t="str">
        <f>'1. HVAC Design Review'!K135</f>
        <v>Yes</v>
      </c>
      <c r="E223" s="141"/>
      <c r="F223" s="141" t="str">
        <f>'1. HVAC Design Review'!$S$135</f>
        <v>4.3.13</v>
      </c>
    </row>
    <row r="224" spans="2:6" x14ac:dyDescent="0.25">
      <c r="B224" s="199" t="str">
        <f t="shared" ca="1" si="4"/>
        <v>1. HVAC Design Review</v>
      </c>
      <c r="C224" s="366" t="str">
        <f>'1. HVAC Design Review'!$B$136&amp;"_Plan"</f>
        <v>Does each HVAC System in Home match the equipment type specified in the HVAC design?_Plan</v>
      </c>
      <c r="D224" s="96" t="str">
        <f>'1. HVAC Design Review'!K136</f>
        <v>Yes</v>
      </c>
      <c r="E224" s="141"/>
      <c r="F224" s="141" t="str">
        <f>'1. HVAC Design Review'!$S$136</f>
        <v>4.3.14</v>
      </c>
    </row>
    <row r="225" spans="2:27" x14ac:dyDescent="0.25">
      <c r="B225" s="199" t="str">
        <f t="shared" ca="1" si="4"/>
        <v>1. HVAC Design Review</v>
      </c>
      <c r="C225" s="366" t="str">
        <f>'1. HVAC Design Review'!$B$138&amp;'1. HVAC Design Review'!$B$139&amp;"Zone 1"&amp;"_Plan"</f>
        <v>Design AirflowsIn HVAC design, sum of design airflows across all roomsZone 1_Plan</v>
      </c>
      <c r="D225" s="97">
        <f>'1. HVAC Design Review'!I139</f>
        <v>0</v>
      </c>
      <c r="E225" s="141" t="str">
        <f>'1. HVAC Design Review'!$R$139</f>
        <v>CFM</v>
      </c>
      <c r="F225" s="141" t="str">
        <f>'1. HVAC Design Review'!$S$139</f>
        <v>4.3.15</v>
      </c>
    </row>
    <row r="226" spans="2:27" x14ac:dyDescent="0.25">
      <c r="B226" s="199" t="str">
        <f t="shared" ca="1" si="4"/>
        <v>1. HVAC Design Review</v>
      </c>
      <c r="C226" s="366" t="str">
        <f>'1. HVAC Design Review'!$B$138&amp;'1. HVAC Design Review'!$B$140&amp;"Zone 1"&amp;"_Plan"</f>
        <v>Design AirflowsIn HVAC design, design airflow of system in cooling mode (if applicable)Zone 1_Plan</v>
      </c>
      <c r="D226" s="97">
        <f>'1. HVAC Design Review'!I140</f>
        <v>0</v>
      </c>
      <c r="E226" s="141" t="str">
        <f>'1. HVAC Design Review'!$R$139</f>
        <v>CFM</v>
      </c>
      <c r="F226" s="141" t="str">
        <f>'1. HVAC Design Review'!$S$139</f>
        <v>4.3.15</v>
      </c>
    </row>
    <row r="227" spans="2:27" x14ac:dyDescent="0.25">
      <c r="B227" s="199" t="str">
        <f t="shared" ca="1" si="4"/>
        <v>1. HVAC Design Review</v>
      </c>
      <c r="C227" s="366" t="str">
        <f>'1. HVAC Design Review'!$B$138&amp;'1. HVAC Design Review'!$B$141&amp;"Zone 1"&amp;"_Plan"</f>
        <v>Design AirflowsIn HVAC design, design airflow of system in heating mode (if applicable)Zone 1_Plan</v>
      </c>
      <c r="D227" s="97">
        <f>'1. HVAC Design Review'!I141</f>
        <v>0</v>
      </c>
      <c r="E227" s="141" t="str">
        <f>'1. HVAC Design Review'!$R$139</f>
        <v>CFM</v>
      </c>
      <c r="F227" s="141" t="str">
        <f>'1. HVAC Design Review'!$S$139</f>
        <v>4.3.15</v>
      </c>
    </row>
    <row r="228" spans="2:27" x14ac:dyDescent="0.25">
      <c r="B228" s="199" t="str">
        <f t="shared" ca="1" si="4"/>
        <v>1. HVAC Design Review</v>
      </c>
      <c r="C228" s="366" t="str">
        <f>'1. HVAC Design Review'!$B$138&amp;'1. HVAC Design Review'!$B$142&amp;"Zone 1"&amp;"_Plan"</f>
        <v>Design AirflowsDoes the sum of design airflows across all rooms equal airflow of mode with higher airflow?Zone 1_Plan</v>
      </c>
      <c r="D228" s="97" t="str">
        <f>'1. HVAC Design Review'!I142</f>
        <v>Yes</v>
      </c>
      <c r="E228" s="141"/>
      <c r="F228" s="141" t="str">
        <f>'1. HVAC Design Review'!$S$139</f>
        <v>4.3.15</v>
      </c>
    </row>
    <row r="229" spans="2:27" x14ac:dyDescent="0.25">
      <c r="B229" s="199" t="str">
        <f t="shared" ca="1" si="4"/>
        <v>1. HVAC Design Review</v>
      </c>
      <c r="C229" s="366" t="str">
        <f>'1. HVAC Design Review'!$B$138&amp;'1. HVAC Design Review'!$B$139&amp;"Zone 2"&amp;"_Plan"</f>
        <v>Design AirflowsIn HVAC design, sum of design airflows across all roomsZone 2_Plan</v>
      </c>
      <c r="D229" s="97">
        <f>'1. HVAC Design Review'!J139</f>
        <v>0</v>
      </c>
      <c r="E229" s="141" t="str">
        <f>'1. HVAC Design Review'!$R$139</f>
        <v>CFM</v>
      </c>
      <c r="F229" s="141" t="str">
        <f>'1. HVAC Design Review'!$S$139</f>
        <v>4.3.15</v>
      </c>
    </row>
    <row r="230" spans="2:27" x14ac:dyDescent="0.25">
      <c r="B230" s="199" t="str">
        <f t="shared" ca="1" si="4"/>
        <v>1. HVAC Design Review</v>
      </c>
      <c r="C230" s="366" t="str">
        <f>'1. HVAC Design Review'!$B$138&amp;'1. HVAC Design Review'!$B$140&amp;"Zone 2"&amp;"_Plan"</f>
        <v>Design AirflowsIn HVAC design, design airflow of system in cooling mode (if applicable)Zone 2_Plan</v>
      </c>
      <c r="D230" s="97">
        <f>'1. HVAC Design Review'!J140</f>
        <v>0</v>
      </c>
      <c r="E230" s="141" t="str">
        <f>'1. HVAC Design Review'!$R$139</f>
        <v>CFM</v>
      </c>
      <c r="F230" s="141" t="str">
        <f>'1. HVAC Design Review'!$S$139</f>
        <v>4.3.15</v>
      </c>
    </row>
    <row r="231" spans="2:27" x14ac:dyDescent="0.25">
      <c r="B231" s="199" t="str">
        <f t="shared" ca="1" si="4"/>
        <v>1. HVAC Design Review</v>
      </c>
      <c r="C231" s="366" t="str">
        <f>'1. HVAC Design Review'!$B$138&amp;'1. HVAC Design Review'!$B$141&amp;"Zone 2"&amp;"_Plan"</f>
        <v>Design AirflowsIn HVAC design, design airflow of system in heating mode (if applicable)Zone 2_Plan</v>
      </c>
      <c r="D231" s="97">
        <f>'1. HVAC Design Review'!J141</f>
        <v>0</v>
      </c>
      <c r="E231" s="141" t="str">
        <f>'1. HVAC Design Review'!$R$139</f>
        <v>CFM</v>
      </c>
      <c r="F231" s="141" t="str">
        <f>'1. HVAC Design Review'!$S$139</f>
        <v>4.3.15</v>
      </c>
    </row>
    <row r="232" spans="2:27" x14ac:dyDescent="0.25">
      <c r="B232" s="199" t="str">
        <f t="shared" ca="1" si="4"/>
        <v>1. HVAC Design Review</v>
      </c>
      <c r="C232" s="366" t="str">
        <f>'1. HVAC Design Review'!$B$138&amp;'1. HVAC Design Review'!$B$142&amp;"Zone 2"&amp;"_Plan"</f>
        <v>Design AirflowsDoes the sum of design airflows across all rooms equal airflow of mode with higher airflow?Zone 2_Plan</v>
      </c>
      <c r="D232" s="97" t="str">
        <f>'1. HVAC Design Review'!J142</f>
        <v>Yes</v>
      </c>
      <c r="E232" s="141"/>
      <c r="F232" s="141" t="str">
        <f>'1. HVAC Design Review'!$S$139</f>
        <v>4.3.15</v>
      </c>
    </row>
    <row r="233" spans="2:27" x14ac:dyDescent="0.25">
      <c r="B233" s="199" t="str">
        <f t="shared" ca="1" si="4"/>
        <v>1. HVAC Design Review</v>
      </c>
      <c r="C233" s="366" t="str">
        <f>'1. HVAC Design Review'!$B$138&amp;'1. HVAC Design Review'!$B$139&amp;"Zone 3"&amp;"_Plan"</f>
        <v>Design AirflowsIn HVAC design, sum of design airflows across all roomsZone 3_Plan</v>
      </c>
      <c r="D233" s="97">
        <f>'1. HVAC Design Review'!K139</f>
        <v>0</v>
      </c>
      <c r="E233" s="141" t="str">
        <f>'1. HVAC Design Review'!$R$139</f>
        <v>CFM</v>
      </c>
      <c r="F233" s="141" t="str">
        <f>'1. HVAC Design Review'!$S$139</f>
        <v>4.3.15</v>
      </c>
    </row>
    <row r="234" spans="2:27" x14ac:dyDescent="0.25">
      <c r="B234" s="199" t="str">
        <f t="shared" ca="1" si="4"/>
        <v>1. HVAC Design Review</v>
      </c>
      <c r="C234" s="366" t="str">
        <f>'1. HVAC Design Review'!$B$138&amp;'1. HVAC Design Review'!$B$140&amp;"Zone 3"&amp;"_Plan"</f>
        <v>Design AirflowsIn HVAC design, design airflow of system in cooling mode (if applicable)Zone 3_Plan</v>
      </c>
      <c r="D234" s="97">
        <f>'1. HVAC Design Review'!K140</f>
        <v>0</v>
      </c>
      <c r="E234" s="141" t="str">
        <f>'1. HVAC Design Review'!$R$139</f>
        <v>CFM</v>
      </c>
      <c r="F234" s="141" t="str">
        <f>'1. HVAC Design Review'!$S$139</f>
        <v>4.3.15</v>
      </c>
    </row>
    <row r="235" spans="2:27" x14ac:dyDescent="0.25">
      <c r="B235" s="199" t="str">
        <f t="shared" ca="1" si="4"/>
        <v>1. HVAC Design Review</v>
      </c>
      <c r="C235" s="366" t="str">
        <f>'1. HVAC Design Review'!$B$138&amp;'1. HVAC Design Review'!$B$141&amp;"Zone 3"&amp;"_Plan"</f>
        <v>Design AirflowsIn HVAC design, design airflow of system in heating mode (if applicable)Zone 3_Plan</v>
      </c>
      <c r="D235" s="97">
        <f>'1. HVAC Design Review'!K141</f>
        <v>0</v>
      </c>
      <c r="E235" s="141" t="str">
        <f>'1. HVAC Design Review'!$R$139</f>
        <v>CFM</v>
      </c>
      <c r="F235" s="141" t="str">
        <f>'1. HVAC Design Review'!$S$139</f>
        <v>4.3.15</v>
      </c>
      <c r="H235"/>
      <c r="I235"/>
      <c r="J235"/>
      <c r="K235"/>
      <c r="L235"/>
      <c r="M235"/>
      <c r="N235"/>
      <c r="O235"/>
      <c r="P235"/>
      <c r="Q235"/>
      <c r="R235"/>
      <c r="S235"/>
      <c r="T235"/>
      <c r="U235"/>
      <c r="V235"/>
      <c r="W235"/>
      <c r="X235"/>
      <c r="Y235"/>
      <c r="Z235"/>
      <c r="AA235"/>
    </row>
    <row r="236" spans="2:27" x14ac:dyDescent="0.25">
      <c r="B236" s="199" t="str">
        <f t="shared" ca="1" si="4"/>
        <v>1. HVAC Design Review</v>
      </c>
      <c r="C236" s="366" t="str">
        <f>'1. HVAC Design Review'!$B$138&amp;'1. HVAC Design Review'!$B$142&amp;"Zone 3"&amp;"_Plan"</f>
        <v>Design AirflowsDoes the sum of design airflows across all rooms equal airflow of mode with higher airflow?Zone 3_Plan</v>
      </c>
      <c r="D236" s="97" t="str">
        <f>'1. HVAC Design Review'!K142</f>
        <v>Yes</v>
      </c>
      <c r="E236" s="141"/>
      <c r="F236" s="141" t="str">
        <f>'1. HVAC Design Review'!$S$139</f>
        <v>4.3.15</v>
      </c>
      <c r="H236"/>
      <c r="I236"/>
      <c r="J236"/>
      <c r="K236"/>
      <c r="L236"/>
      <c r="M236"/>
      <c r="N236"/>
      <c r="O236"/>
      <c r="P236"/>
      <c r="Q236"/>
      <c r="R236"/>
      <c r="S236"/>
      <c r="T236"/>
      <c r="U236"/>
      <c r="V236"/>
      <c r="W236"/>
      <c r="X236"/>
      <c r="Y236"/>
      <c r="Z236"/>
      <c r="AA236"/>
    </row>
    <row r="237" spans="2:27" x14ac:dyDescent="0.25">
      <c r="B237" s="199" t="str">
        <f t="shared" ca="1" si="4"/>
        <v>1. HVAC Design Review</v>
      </c>
      <c r="C237" s="361" t="str">
        <f>'1. HVAC Design Review'!$B$89&amp;"_Field"</f>
        <v>Has all required design documentation been collected, or an IVR obtained? _Field</v>
      </c>
      <c r="D237" s="141" t="str">
        <f>'1. HVAC Design Review'!P89</f>
        <v>Yes</v>
      </c>
      <c r="E237" s="141"/>
      <c r="F237" s="141">
        <f>'1. HVAC Design Review'!$S$89</f>
        <v>4.3</v>
      </c>
      <c r="H237"/>
      <c r="I237"/>
      <c r="J237"/>
      <c r="K237"/>
      <c r="L237"/>
      <c r="M237"/>
      <c r="N237"/>
      <c r="O237"/>
      <c r="P237"/>
      <c r="Q237"/>
      <c r="R237"/>
      <c r="S237"/>
      <c r="T237"/>
      <c r="U237"/>
      <c r="V237"/>
      <c r="W237"/>
      <c r="X237"/>
      <c r="Y237"/>
      <c r="Z237"/>
      <c r="AA237"/>
    </row>
    <row r="238" spans="2:27" x14ac:dyDescent="0.25">
      <c r="B238" s="199" t="str">
        <f t="shared" ca="1" si="4"/>
        <v>1. HVAC Design Review</v>
      </c>
      <c r="C238" s="361" t="str">
        <f>'1. HVAC Design Review'!$B$92&amp;"_Field"</f>
        <v>Are indoor design temps in HVAC design 70°F for heating season &amp; 75°F for cooling season?_Field</v>
      </c>
      <c r="D238" s="141" t="str">
        <f>'1. HVAC Design Review'!P92</f>
        <v>Yes</v>
      </c>
      <c r="E238" s="141"/>
      <c r="F238" s="141" t="str">
        <f>'1. HVAC Design Review'!$S$92</f>
        <v>4.3.5</v>
      </c>
      <c r="H238"/>
      <c r="I238"/>
      <c r="J238"/>
      <c r="K238"/>
      <c r="L238"/>
      <c r="M238"/>
      <c r="N238"/>
      <c r="O238"/>
      <c r="P238"/>
      <c r="Q238"/>
      <c r="R238"/>
      <c r="S238"/>
      <c r="T238"/>
      <c r="U238"/>
      <c r="V238"/>
      <c r="W238"/>
      <c r="X238"/>
      <c r="Y238"/>
      <c r="Z238"/>
      <c r="AA238"/>
    </row>
    <row r="239" spans="2:27" x14ac:dyDescent="0.25">
      <c r="B239" s="199" t="str">
        <f t="shared" ca="1" si="4"/>
        <v>1. HVAC Design Review</v>
      </c>
      <c r="C239" s="361" t="str">
        <f>'1. HVAC Design Review'!$B$93&amp;"_Field"</f>
        <v>Are outdoor design temps in HVAC design within limits defined in Appendix A?_Field</v>
      </c>
      <c r="D239" s="141" t="str">
        <f>'1. HVAC Design Review'!P93</f>
        <v>Yes</v>
      </c>
      <c r="E239" s="141"/>
      <c r="F239" s="141" t="str">
        <f>'1. HVAC Design Review'!$S$93</f>
        <v>4.3.6</v>
      </c>
      <c r="H239"/>
      <c r="I239"/>
      <c r="J239"/>
      <c r="K239"/>
      <c r="L239"/>
      <c r="M239"/>
      <c r="N239"/>
      <c r="O239"/>
      <c r="P239"/>
      <c r="Q239"/>
      <c r="R239"/>
      <c r="S239"/>
      <c r="T239"/>
      <c r="U239"/>
      <c r="V239"/>
      <c r="W239"/>
      <c r="X239"/>
      <c r="Y239"/>
      <c r="Z239"/>
      <c r="AA239"/>
    </row>
    <row r="240" spans="2:27" x14ac:dyDescent="0.25">
      <c r="B240" s="199" t="str">
        <f t="shared" ca="1" si="4"/>
        <v>1. HVAC Design Review</v>
      </c>
      <c r="C240" s="366" t="str">
        <f>'1. HVAC Design Review'!$B$96&amp;"_Field"</f>
        <v>Number of occupants used in HVAC design across all zones:_Field</v>
      </c>
      <c r="D240" s="97">
        <f>'1. HVAC Design Review'!P96</f>
        <v>0</v>
      </c>
      <c r="E240" s="141"/>
      <c r="F240" s="141" t="str">
        <f>'1. HVAC Design Review'!$S$95</f>
        <v>4.3.7</v>
      </c>
      <c r="H240"/>
      <c r="I240"/>
      <c r="J240"/>
      <c r="K240"/>
      <c r="L240"/>
      <c r="M240"/>
      <c r="N240"/>
      <c r="O240"/>
      <c r="P240"/>
      <c r="Q240"/>
      <c r="R240"/>
      <c r="S240"/>
      <c r="T240"/>
      <c r="U240"/>
      <c r="V240"/>
      <c r="W240"/>
      <c r="X240"/>
      <c r="Y240"/>
      <c r="Z240"/>
      <c r="AA240"/>
    </row>
    <row r="241" spans="2:27" x14ac:dyDescent="0.25">
      <c r="B241" s="199" t="str">
        <f t="shared" ca="1" si="4"/>
        <v>1. HVAC Design Review</v>
      </c>
      <c r="C241" s="366" t="str">
        <f>'1. HVAC Design Review'!$B$97&amp;"_Field"</f>
        <v>Number of bedrooms in Home:_Field</v>
      </c>
      <c r="D241" s="97">
        <f>'1. HVAC Design Review'!P97</f>
        <v>0</v>
      </c>
      <c r="E241" s="141"/>
      <c r="F241" s="141" t="str">
        <f>'1. HVAC Design Review'!$S$95</f>
        <v>4.3.7</v>
      </c>
      <c r="H241"/>
      <c r="I241"/>
      <c r="J241"/>
      <c r="K241"/>
      <c r="L241"/>
      <c r="M241"/>
      <c r="N241"/>
      <c r="O241"/>
      <c r="P241"/>
      <c r="Q241"/>
      <c r="R241"/>
      <c r="S241"/>
      <c r="T241"/>
      <c r="U241"/>
      <c r="V241"/>
      <c r="W241"/>
      <c r="X241"/>
      <c r="Y241"/>
      <c r="Z241"/>
      <c r="AA241"/>
    </row>
    <row r="242" spans="2:27" x14ac:dyDescent="0.25">
      <c r="B242" s="199" t="str">
        <f t="shared" ca="1" si="4"/>
        <v>1. HVAC Design Review</v>
      </c>
      <c r="C242" s="366" t="str">
        <f>'1. HVAC Design Review'!$B$98&amp;"_Field"</f>
        <v>Number of occupants in Home:_Field</v>
      </c>
      <c r="D242" s="363">
        <f>'1. HVAC Design Review'!P98</f>
        <v>1</v>
      </c>
      <c r="E242" s="141"/>
      <c r="F242" s="141" t="str">
        <f>'1. HVAC Design Review'!$S$95</f>
        <v>4.3.7</v>
      </c>
      <c r="H242"/>
      <c r="I242"/>
      <c r="J242"/>
      <c r="K242"/>
      <c r="L242"/>
      <c r="M242"/>
      <c r="N242"/>
      <c r="O242"/>
      <c r="P242"/>
      <c r="Q242"/>
      <c r="R242"/>
      <c r="S242"/>
      <c r="T242"/>
      <c r="U242"/>
      <c r="V242"/>
      <c r="W242"/>
      <c r="X242"/>
      <c r="Y242"/>
      <c r="Z242"/>
      <c r="AA242"/>
    </row>
    <row r="243" spans="2:27" x14ac:dyDescent="0.25">
      <c r="B243" s="199" t="str">
        <f t="shared" ca="1" si="4"/>
        <v>1. HVAC Design Review</v>
      </c>
      <c r="C243" s="366" t="str">
        <f>'1. HVAC Design Review'!$B$99&amp;"_Field"</f>
        <v>Number of occupants in Home within ±2 of occupants in HVAC Design?_Field</v>
      </c>
      <c r="D243" s="362" t="str">
        <f>'1. HVAC Design Review'!P99</f>
        <v>Yes</v>
      </c>
      <c r="E243" s="141"/>
      <c r="F243" s="141" t="str">
        <f>'1. HVAC Design Review'!$S$95</f>
        <v>4.3.7</v>
      </c>
      <c r="H243"/>
      <c r="I243"/>
      <c r="J243"/>
      <c r="K243"/>
      <c r="L243"/>
      <c r="M243"/>
      <c r="N243"/>
      <c r="O243"/>
      <c r="P243"/>
      <c r="Q243"/>
      <c r="R243"/>
      <c r="S243"/>
      <c r="T243"/>
      <c r="U243"/>
      <c r="V243"/>
      <c r="W243"/>
      <c r="X243"/>
      <c r="Y243"/>
      <c r="Z243"/>
      <c r="AA243"/>
    </row>
    <row r="244" spans="2:27" x14ac:dyDescent="0.25">
      <c r="B244" s="199" t="str">
        <f t="shared" ca="1" si="4"/>
        <v>1. HVAC Design Review</v>
      </c>
      <c r="C244" s="366" t="str">
        <f>'1. HVAC Design Review'!$B$101&amp;'1. HVAC Design Review'!$B$102&amp;"Zone 1"&amp;"_Field"</f>
        <v>Window SHGCPredominant window SHGC in HVAC designZone 1_Field</v>
      </c>
      <c r="D244" s="364">
        <f>'1. HVAC Design Review'!N102</f>
        <v>0</v>
      </c>
      <c r="E244" s="141"/>
      <c r="F244" s="141" t="str">
        <f>'1. HVAC Design Review'!$S$101</f>
        <v>4.3.8</v>
      </c>
      <c r="H244"/>
      <c r="I244"/>
      <c r="J244"/>
      <c r="K244"/>
      <c r="L244"/>
      <c r="M244"/>
      <c r="N244"/>
      <c r="O244"/>
      <c r="P244"/>
      <c r="Q244"/>
      <c r="R244"/>
      <c r="S244"/>
      <c r="T244"/>
      <c r="U244"/>
      <c r="V244"/>
      <c r="W244"/>
      <c r="X244"/>
      <c r="Y244"/>
      <c r="Z244"/>
      <c r="AA244"/>
    </row>
    <row r="245" spans="2:27" x14ac:dyDescent="0.25">
      <c r="B245" s="199" t="str">
        <f t="shared" ca="1" si="4"/>
        <v>1. HVAC Design Review</v>
      </c>
      <c r="C245" s="366" t="str">
        <f>'1. HVAC Design Review'!$B$101&amp;'1. HVAC Design Review'!$B$103&amp;"Zone 1"&amp;"_Field"</f>
        <v>Window SHGCPredominant window SHGC in HomeZone 1_Field</v>
      </c>
      <c r="D245" s="364">
        <f>'1. HVAC Design Review'!N103</f>
        <v>0</v>
      </c>
      <c r="E245" s="141"/>
      <c r="F245" s="141" t="str">
        <f>'1. HVAC Design Review'!$S$101</f>
        <v>4.3.8</v>
      </c>
      <c r="H245"/>
      <c r="I245"/>
      <c r="J245"/>
      <c r="K245"/>
      <c r="L245"/>
      <c r="M245"/>
      <c r="N245"/>
      <c r="O245"/>
      <c r="P245"/>
      <c r="Q245"/>
      <c r="R245"/>
      <c r="S245"/>
      <c r="T245"/>
      <c r="U245"/>
      <c r="V245"/>
      <c r="W245"/>
      <c r="X245"/>
      <c r="Y245"/>
      <c r="Z245"/>
      <c r="AA245"/>
    </row>
    <row r="246" spans="2:27" x14ac:dyDescent="0.25">
      <c r="B246" s="199" t="str">
        <f t="shared" ca="1" si="4"/>
        <v>1. HVAC Design Review</v>
      </c>
      <c r="C246" s="366" t="str">
        <f>'1. HVAC Design Review'!$B$101&amp;'1. HVAC Design Review'!$B$104&amp;"Zone 1"&amp;"_Field"</f>
        <v>Window SHGCHome is within ±0.1 of HVAC design?Zone 1_Field</v>
      </c>
      <c r="D246" s="141" t="str">
        <f>'1. HVAC Design Review'!N104</f>
        <v>Yes</v>
      </c>
      <c r="E246" s="141"/>
      <c r="F246" s="141" t="str">
        <f>'1. HVAC Design Review'!$S$101</f>
        <v>4.3.8</v>
      </c>
      <c r="H246"/>
      <c r="I246"/>
      <c r="J246"/>
      <c r="K246"/>
      <c r="L246"/>
      <c r="M246"/>
      <c r="N246"/>
      <c r="O246"/>
      <c r="P246"/>
      <c r="Q246"/>
      <c r="R246"/>
      <c r="S246"/>
      <c r="T246"/>
      <c r="U246"/>
      <c r="V246"/>
      <c r="W246"/>
      <c r="X246"/>
      <c r="Y246"/>
      <c r="Z246"/>
      <c r="AA246"/>
    </row>
    <row r="247" spans="2:27" x14ac:dyDescent="0.25">
      <c r="B247" s="199" t="str">
        <f t="shared" ca="1" si="4"/>
        <v>1. HVAC Design Review</v>
      </c>
      <c r="C247" s="366" t="str">
        <f>'1. HVAC Design Review'!$B$101&amp;'1. HVAC Design Review'!$B$102&amp;"Zone 2"&amp;"_Field"</f>
        <v>Window SHGCPredominant window SHGC in HVAC designZone 2_Field</v>
      </c>
      <c r="D247" s="364">
        <f>'1. HVAC Design Review'!O102</f>
        <v>0</v>
      </c>
      <c r="E247" s="141"/>
      <c r="F247" s="141" t="str">
        <f>'1. HVAC Design Review'!$S$101</f>
        <v>4.3.8</v>
      </c>
      <c r="H247"/>
      <c r="I247"/>
      <c r="J247"/>
      <c r="K247"/>
      <c r="L247"/>
      <c r="M247"/>
      <c r="N247"/>
      <c r="O247"/>
      <c r="P247"/>
      <c r="Q247"/>
      <c r="R247"/>
      <c r="S247"/>
      <c r="T247"/>
      <c r="U247"/>
      <c r="V247"/>
      <c r="W247"/>
      <c r="X247"/>
      <c r="Y247"/>
      <c r="Z247"/>
      <c r="AA247"/>
    </row>
    <row r="248" spans="2:27" x14ac:dyDescent="0.25">
      <c r="B248" s="199" t="str">
        <f t="shared" ca="1" si="4"/>
        <v>1. HVAC Design Review</v>
      </c>
      <c r="C248" s="366" t="str">
        <f>'1. HVAC Design Review'!$B$101&amp;'1. HVAC Design Review'!$B$103&amp;"Zone 2"&amp;"_Field"</f>
        <v>Window SHGCPredominant window SHGC in HomeZone 2_Field</v>
      </c>
      <c r="D248" s="364">
        <f>'1. HVAC Design Review'!O103</f>
        <v>0</v>
      </c>
      <c r="E248" s="141"/>
      <c r="F248" s="141" t="str">
        <f>'1. HVAC Design Review'!$S$101</f>
        <v>4.3.8</v>
      </c>
      <c r="H248"/>
      <c r="I248"/>
      <c r="J248"/>
      <c r="K248"/>
      <c r="L248"/>
      <c r="M248"/>
      <c r="N248"/>
      <c r="O248"/>
      <c r="P248"/>
      <c r="Q248"/>
      <c r="R248"/>
      <c r="S248"/>
      <c r="T248"/>
      <c r="U248"/>
      <c r="V248"/>
      <c r="W248"/>
      <c r="X248"/>
      <c r="Y248"/>
      <c r="Z248"/>
      <c r="AA248"/>
    </row>
    <row r="249" spans="2:27" x14ac:dyDescent="0.25">
      <c r="B249" s="199" t="str">
        <f t="shared" ca="1" si="4"/>
        <v>1. HVAC Design Review</v>
      </c>
      <c r="C249" s="366" t="str">
        <f>'1. HVAC Design Review'!$B$101&amp;'1. HVAC Design Review'!$B$104&amp;"Zone 2"&amp;"_Field"</f>
        <v>Window SHGCHome is within ±0.1 of HVAC design?Zone 2_Field</v>
      </c>
      <c r="D249" s="141" t="str">
        <f>'1. HVAC Design Review'!O104</f>
        <v>Yes</v>
      </c>
      <c r="E249" s="141"/>
      <c r="F249" s="141" t="str">
        <f>'1. HVAC Design Review'!$S$101</f>
        <v>4.3.8</v>
      </c>
      <c r="H249"/>
      <c r="I249"/>
      <c r="J249"/>
      <c r="K249"/>
      <c r="L249"/>
      <c r="M249"/>
      <c r="N249"/>
      <c r="O249"/>
      <c r="P249"/>
      <c r="Q249"/>
      <c r="R249"/>
      <c r="S249"/>
      <c r="T249"/>
      <c r="U249"/>
      <c r="V249"/>
      <c r="W249"/>
      <c r="X249"/>
      <c r="Y249"/>
      <c r="Z249"/>
      <c r="AA249"/>
    </row>
    <row r="250" spans="2:27" x14ac:dyDescent="0.25">
      <c r="B250" s="199" t="str">
        <f t="shared" ca="1" si="4"/>
        <v>1. HVAC Design Review</v>
      </c>
      <c r="C250" s="366" t="str">
        <f>'1. HVAC Design Review'!$B$101&amp;'1. HVAC Design Review'!$B$102&amp;"Zone 3"&amp;"_Field"</f>
        <v>Window SHGCPredominant window SHGC in HVAC designZone 3_Field</v>
      </c>
      <c r="D250" s="364">
        <f>'1. HVAC Design Review'!P102</f>
        <v>0</v>
      </c>
      <c r="E250" s="141"/>
      <c r="F250" s="141" t="str">
        <f>'1. HVAC Design Review'!$S$101</f>
        <v>4.3.8</v>
      </c>
      <c r="H250"/>
      <c r="I250"/>
      <c r="J250"/>
      <c r="K250"/>
      <c r="L250"/>
      <c r="M250"/>
      <c r="N250"/>
      <c r="O250"/>
      <c r="P250"/>
      <c r="Q250"/>
      <c r="R250"/>
      <c r="S250"/>
      <c r="T250"/>
      <c r="U250"/>
      <c r="V250"/>
      <c r="W250"/>
      <c r="X250"/>
      <c r="Y250"/>
      <c r="Z250"/>
      <c r="AA250"/>
    </row>
    <row r="251" spans="2:27" x14ac:dyDescent="0.25">
      <c r="B251" s="199" t="str">
        <f t="shared" ca="1" si="4"/>
        <v>1. HVAC Design Review</v>
      </c>
      <c r="C251" s="366" t="str">
        <f>'1. HVAC Design Review'!$B$101&amp;'1. HVAC Design Review'!$B$103&amp;"Zone 3"&amp;"_Field"</f>
        <v>Window SHGCPredominant window SHGC in HomeZone 3_Field</v>
      </c>
      <c r="D251" s="364">
        <f>'1. HVAC Design Review'!P103</f>
        <v>0</v>
      </c>
      <c r="E251" s="141"/>
      <c r="F251" s="141" t="str">
        <f>'1. HVAC Design Review'!$S$101</f>
        <v>4.3.8</v>
      </c>
      <c r="H251"/>
      <c r="I251"/>
      <c r="J251"/>
      <c r="K251"/>
      <c r="L251"/>
      <c r="M251"/>
      <c r="N251"/>
      <c r="O251"/>
      <c r="P251"/>
      <c r="Q251"/>
      <c r="R251"/>
      <c r="S251"/>
      <c r="T251"/>
      <c r="U251"/>
      <c r="V251"/>
      <c r="W251"/>
      <c r="X251"/>
      <c r="Y251"/>
      <c r="Z251"/>
      <c r="AA251"/>
    </row>
    <row r="252" spans="2:27" x14ac:dyDescent="0.25">
      <c r="B252" s="199" t="str">
        <f t="shared" ca="1" si="4"/>
        <v>1. HVAC Design Review</v>
      </c>
      <c r="C252" s="366" t="str">
        <f>'1. HVAC Design Review'!$B$101&amp;'1. HVAC Design Review'!$B$104&amp;"Zone 3"&amp;"_Field"</f>
        <v>Window SHGCHome is within ±0.1 of HVAC design?Zone 3_Field</v>
      </c>
      <c r="D252" s="141" t="str">
        <f>'1. HVAC Design Review'!P104</f>
        <v>Yes</v>
      </c>
      <c r="E252" s="141"/>
      <c r="F252" s="141" t="str">
        <f>'1. HVAC Design Review'!$S$101</f>
        <v>4.3.8</v>
      </c>
      <c r="H252"/>
      <c r="I252"/>
      <c r="J252"/>
      <c r="K252"/>
      <c r="L252"/>
      <c r="M252"/>
      <c r="N252"/>
      <c r="O252"/>
      <c r="P252"/>
      <c r="Q252"/>
      <c r="R252"/>
      <c r="S252"/>
      <c r="T252"/>
      <c r="U252"/>
      <c r="V252"/>
      <c r="W252"/>
      <c r="X252"/>
      <c r="Y252"/>
      <c r="Z252"/>
      <c r="AA252"/>
    </row>
    <row r="253" spans="2:27" x14ac:dyDescent="0.25">
      <c r="B253" s="199" t="str">
        <f t="shared" ca="1" si="4"/>
        <v>1. HVAC Design Review</v>
      </c>
      <c r="C253" s="366" t="str">
        <f>'1. HVAC Design Review'!$B$106&amp;'1. HVAC Design Review'!$B$107&amp;"Zone 1"&amp;"_Field"</f>
        <v>Above-Grade Wall Nominal R-ValuePredominant wall R-value in HVAC designZone 1_Field</v>
      </c>
      <c r="D253" s="97">
        <f>'1. HVAC Design Review'!N107</f>
        <v>0</v>
      </c>
      <c r="E253" s="141"/>
      <c r="F253" s="141" t="str">
        <f>'1. HVAC Design Review'!$S$106</f>
        <v>4.3.9</v>
      </c>
      <c r="H253"/>
      <c r="I253"/>
      <c r="J253"/>
      <c r="K253"/>
      <c r="L253"/>
      <c r="M253"/>
      <c r="N253"/>
      <c r="O253"/>
      <c r="P253"/>
      <c r="Q253"/>
      <c r="R253"/>
      <c r="S253"/>
      <c r="T253"/>
      <c r="U253"/>
      <c r="V253"/>
      <c r="W253"/>
      <c r="X253"/>
      <c r="Y253"/>
      <c r="Z253"/>
      <c r="AA253"/>
    </row>
    <row r="254" spans="2:27" x14ac:dyDescent="0.25">
      <c r="B254" s="199" t="str">
        <f t="shared" ca="1" si="4"/>
        <v>1. HVAC Design Review</v>
      </c>
      <c r="C254" s="366" t="str">
        <f>'1. HVAC Design Review'!$B$106&amp;'1. HVAC Design Review'!$B$108&amp;"Zone 1"&amp;"_Field"</f>
        <v>Above-Grade Wall Nominal R-ValuePredominant wall R-value in HomeZone 1_Field</v>
      </c>
      <c r="D254" s="97">
        <f>'1. HVAC Design Review'!N108</f>
        <v>0</v>
      </c>
      <c r="E254" s="141"/>
      <c r="F254" s="141" t="str">
        <f>'1. HVAC Design Review'!$S$106</f>
        <v>4.3.9</v>
      </c>
      <c r="H254"/>
      <c r="I254"/>
      <c r="J254"/>
      <c r="K254"/>
      <c r="L254"/>
      <c r="M254"/>
      <c r="N254"/>
      <c r="O254"/>
      <c r="P254"/>
      <c r="Q254"/>
      <c r="R254"/>
      <c r="S254"/>
      <c r="T254"/>
      <c r="U254"/>
      <c r="V254"/>
      <c r="W254"/>
      <c r="X254"/>
      <c r="Y254"/>
      <c r="Z254"/>
      <c r="AA254"/>
    </row>
    <row r="255" spans="2:27" x14ac:dyDescent="0.25">
      <c r="B255" s="199" t="str">
        <f t="shared" ca="1" si="4"/>
        <v>1. HVAC Design Review</v>
      </c>
      <c r="C255" s="366" t="str">
        <f>'1. HVAC Design Review'!$B$106&amp;'1. HVAC Design Review'!$B$109&amp;"Zone 1"&amp;"_Field"</f>
        <v>Above-Grade Wall Nominal R-ValueHome is within ±R-2 of HVAC design?Zone 1_Field</v>
      </c>
      <c r="D255" s="141" t="str">
        <f>'1. HVAC Design Review'!N109</f>
        <v>Yes</v>
      </c>
      <c r="E255" s="141"/>
      <c r="F255" s="141" t="str">
        <f>'1. HVAC Design Review'!$S$106</f>
        <v>4.3.9</v>
      </c>
      <c r="H255"/>
      <c r="I255"/>
      <c r="J255"/>
      <c r="K255"/>
      <c r="L255"/>
      <c r="M255"/>
      <c r="N255"/>
      <c r="O255"/>
      <c r="P255"/>
      <c r="Q255"/>
      <c r="R255"/>
      <c r="S255"/>
      <c r="T255"/>
      <c r="U255"/>
      <c r="V255"/>
      <c r="W255"/>
      <c r="X255"/>
      <c r="Y255"/>
      <c r="Z255"/>
      <c r="AA255"/>
    </row>
    <row r="256" spans="2:27" x14ac:dyDescent="0.25">
      <c r="B256" s="199" t="str">
        <f t="shared" ca="1" si="4"/>
        <v>1. HVAC Design Review</v>
      </c>
      <c r="C256" s="366" t="str">
        <f>'1. HVAC Design Review'!$B$106&amp;'1. HVAC Design Review'!$B$107&amp;"Zone 2"&amp;"_Field"</f>
        <v>Above-Grade Wall Nominal R-ValuePredominant wall R-value in HVAC designZone 2_Field</v>
      </c>
      <c r="D256" s="97">
        <f>'1. HVAC Design Review'!O107</f>
        <v>0</v>
      </c>
      <c r="E256" s="141"/>
      <c r="F256" s="141" t="str">
        <f>'1. HVAC Design Review'!$S$106</f>
        <v>4.3.9</v>
      </c>
      <c r="H256"/>
      <c r="I256"/>
      <c r="J256"/>
      <c r="K256"/>
      <c r="L256"/>
      <c r="M256"/>
      <c r="N256"/>
      <c r="O256"/>
      <c r="P256"/>
      <c r="Q256"/>
      <c r="R256"/>
      <c r="S256"/>
      <c r="T256"/>
      <c r="U256"/>
      <c r="V256"/>
      <c r="W256"/>
      <c r="X256"/>
      <c r="Y256"/>
      <c r="Z256"/>
      <c r="AA256"/>
    </row>
    <row r="257" spans="2:27" x14ac:dyDescent="0.25">
      <c r="B257" s="199" t="str">
        <f t="shared" ca="1" si="4"/>
        <v>1. HVAC Design Review</v>
      </c>
      <c r="C257" s="366" t="str">
        <f>'1. HVAC Design Review'!$B$106&amp;'1. HVAC Design Review'!$B$108&amp;"Zone 2"&amp;"_Field"</f>
        <v>Above-Grade Wall Nominal R-ValuePredominant wall R-value in HomeZone 2_Field</v>
      </c>
      <c r="D257" s="97">
        <f>'1. HVAC Design Review'!O108</f>
        <v>0</v>
      </c>
      <c r="E257" s="141"/>
      <c r="F257" s="141" t="str">
        <f>'1. HVAC Design Review'!$S$106</f>
        <v>4.3.9</v>
      </c>
      <c r="H257"/>
      <c r="I257"/>
      <c r="J257"/>
      <c r="K257"/>
      <c r="L257"/>
      <c r="M257"/>
      <c r="N257"/>
      <c r="O257"/>
      <c r="P257"/>
      <c r="Q257"/>
      <c r="R257"/>
      <c r="S257"/>
      <c r="T257"/>
      <c r="U257"/>
      <c r="V257"/>
      <c r="W257"/>
      <c r="X257"/>
      <c r="Y257"/>
      <c r="Z257"/>
      <c r="AA257"/>
    </row>
    <row r="258" spans="2:27" x14ac:dyDescent="0.25">
      <c r="B258" s="199" t="str">
        <f t="shared" ca="1" si="4"/>
        <v>1. HVAC Design Review</v>
      </c>
      <c r="C258" s="366" t="str">
        <f>'1. HVAC Design Review'!$B$106&amp;'1. HVAC Design Review'!$B$109&amp;"Zone 2"&amp;"_Field"</f>
        <v>Above-Grade Wall Nominal R-ValueHome is within ±R-2 of HVAC design?Zone 2_Field</v>
      </c>
      <c r="D258" s="141" t="str">
        <f>'1. HVAC Design Review'!O109</f>
        <v>Yes</v>
      </c>
      <c r="E258" s="141"/>
      <c r="F258" s="141" t="str">
        <f>'1. HVAC Design Review'!$S$106</f>
        <v>4.3.9</v>
      </c>
      <c r="H258"/>
      <c r="I258"/>
      <c r="J258"/>
      <c r="K258"/>
      <c r="L258"/>
      <c r="M258"/>
      <c r="N258"/>
      <c r="O258"/>
      <c r="P258"/>
      <c r="Q258"/>
      <c r="R258"/>
      <c r="S258"/>
      <c r="T258"/>
      <c r="U258"/>
      <c r="V258"/>
      <c r="W258"/>
      <c r="X258"/>
      <c r="Y258"/>
      <c r="Z258"/>
      <c r="AA258"/>
    </row>
    <row r="259" spans="2:27" x14ac:dyDescent="0.25">
      <c r="B259" s="199" t="str">
        <f t="shared" ca="1" si="4"/>
        <v>1. HVAC Design Review</v>
      </c>
      <c r="C259" s="366" t="str">
        <f>'1. HVAC Design Review'!$B$106&amp;'1. HVAC Design Review'!$B$107&amp;"Zone 3"&amp;"_Field"</f>
        <v>Above-Grade Wall Nominal R-ValuePredominant wall R-value in HVAC designZone 3_Field</v>
      </c>
      <c r="D259" s="97">
        <f>'1. HVAC Design Review'!P107</f>
        <v>0</v>
      </c>
      <c r="E259" s="141"/>
      <c r="F259" s="141" t="str">
        <f>'1. HVAC Design Review'!$S$106</f>
        <v>4.3.9</v>
      </c>
      <c r="H259"/>
      <c r="I259"/>
      <c r="J259"/>
      <c r="K259"/>
      <c r="L259"/>
      <c r="M259"/>
      <c r="N259"/>
      <c r="O259"/>
      <c r="P259"/>
      <c r="Q259"/>
      <c r="R259"/>
      <c r="S259"/>
      <c r="T259"/>
      <c r="U259"/>
      <c r="V259"/>
      <c r="W259"/>
      <c r="X259"/>
      <c r="Y259"/>
      <c r="Z259"/>
      <c r="AA259"/>
    </row>
    <row r="260" spans="2:27" x14ac:dyDescent="0.25">
      <c r="B260" s="199" t="str">
        <f t="shared" ca="1" si="4"/>
        <v>1. HVAC Design Review</v>
      </c>
      <c r="C260" s="366" t="str">
        <f>'1. HVAC Design Review'!$B$106&amp;'1. HVAC Design Review'!$B$108&amp;"Zone 3"&amp;"_Field"</f>
        <v>Above-Grade Wall Nominal R-ValuePredominant wall R-value in HomeZone 3_Field</v>
      </c>
      <c r="D260" s="97">
        <f>'1. HVAC Design Review'!P108</f>
        <v>0</v>
      </c>
      <c r="E260" s="141"/>
      <c r="F260" s="141" t="str">
        <f>'1. HVAC Design Review'!$S$106</f>
        <v>4.3.9</v>
      </c>
      <c r="H260"/>
      <c r="I260"/>
      <c r="J260"/>
      <c r="K260"/>
      <c r="L260"/>
      <c r="M260"/>
      <c r="N260"/>
      <c r="O260"/>
      <c r="P260"/>
      <c r="Q260"/>
      <c r="R260"/>
      <c r="S260"/>
      <c r="T260"/>
      <c r="U260"/>
      <c r="V260"/>
      <c r="W260"/>
      <c r="X260"/>
      <c r="Y260"/>
      <c r="Z260"/>
      <c r="AA260"/>
    </row>
    <row r="261" spans="2:27" x14ac:dyDescent="0.25">
      <c r="B261" s="199" t="str">
        <f t="shared" ca="1" si="4"/>
        <v>1. HVAC Design Review</v>
      </c>
      <c r="C261" s="366" t="str">
        <f>'1. HVAC Design Review'!$B$106&amp;'1. HVAC Design Review'!$B$109&amp;"Zone 3"&amp;"_Field"</f>
        <v>Above-Grade Wall Nominal R-ValueHome is within ±R-2 of HVAC design?Zone 3_Field</v>
      </c>
      <c r="D261" s="141" t="str">
        <f>'1. HVAC Design Review'!P109</f>
        <v>Yes</v>
      </c>
      <c r="E261" s="141"/>
      <c r="F261" s="141" t="str">
        <f>'1. HVAC Design Review'!$S$106</f>
        <v>4.3.9</v>
      </c>
      <c r="H261"/>
      <c r="I261"/>
      <c r="J261"/>
      <c r="K261"/>
      <c r="L261"/>
      <c r="M261"/>
      <c r="N261"/>
      <c r="O261"/>
      <c r="P261"/>
      <c r="Q261"/>
      <c r="R261"/>
      <c r="S261"/>
      <c r="T261"/>
      <c r="U261"/>
      <c r="V261"/>
      <c r="W261"/>
      <c r="X261"/>
      <c r="Y261"/>
      <c r="Z261"/>
      <c r="AA261"/>
    </row>
    <row r="262" spans="2:27" x14ac:dyDescent="0.25">
      <c r="B262" s="199" t="str">
        <f t="shared" ca="1" si="4"/>
        <v>1. HVAC Design Review</v>
      </c>
      <c r="C262" s="366" t="str">
        <f>'1. HVAC Design Review'!$B$111&amp;'1. HVAC Design Review'!$B$112&amp;"Zone 1"&amp;"_Field"</f>
        <v>Ceiling Nominal R-ValuePredominant ceiling R-value in HVAC designZone 1_Field</v>
      </c>
      <c r="D262" s="97">
        <f>'1. HVAC Design Review'!N112</f>
        <v>0</v>
      </c>
      <c r="E262" s="141"/>
      <c r="F262" s="141" t="str">
        <f>'1. HVAC Design Review'!$S$111</f>
        <v>4.3.10</v>
      </c>
      <c r="H262"/>
      <c r="I262"/>
      <c r="J262"/>
      <c r="K262"/>
      <c r="L262"/>
      <c r="M262"/>
      <c r="N262"/>
      <c r="O262"/>
      <c r="P262"/>
      <c r="Q262"/>
      <c r="R262"/>
      <c r="S262"/>
      <c r="T262"/>
      <c r="U262"/>
      <c r="V262"/>
      <c r="W262"/>
      <c r="X262"/>
      <c r="Y262"/>
      <c r="Z262"/>
      <c r="AA262"/>
    </row>
    <row r="263" spans="2:27" x14ac:dyDescent="0.25">
      <c r="B263" s="199" t="str">
        <f t="shared" ca="1" si="4"/>
        <v>1. HVAC Design Review</v>
      </c>
      <c r="C263" s="366" t="str">
        <f>'1. HVAC Design Review'!$B$111&amp;'1. HVAC Design Review'!$B$113&amp;"Zone 1"&amp;"_Field"</f>
        <v>Ceiling Nominal R-ValuePredominant ceiling R-value in HomeZone 1_Field</v>
      </c>
      <c r="D263" s="97">
        <f>'1. HVAC Design Review'!N113</f>
        <v>0</v>
      </c>
      <c r="E263" s="141"/>
      <c r="F263" s="141" t="str">
        <f>'1. HVAC Design Review'!$S$111</f>
        <v>4.3.10</v>
      </c>
      <c r="H263"/>
      <c r="I263"/>
      <c r="J263"/>
      <c r="K263"/>
      <c r="L263"/>
      <c r="M263"/>
      <c r="N263"/>
      <c r="O263"/>
      <c r="P263"/>
      <c r="Q263"/>
      <c r="R263"/>
      <c r="S263"/>
      <c r="T263"/>
      <c r="U263"/>
      <c r="V263"/>
      <c r="W263"/>
      <c r="X263"/>
      <c r="Y263"/>
      <c r="Z263"/>
      <c r="AA263"/>
    </row>
    <row r="264" spans="2:27" x14ac:dyDescent="0.25">
      <c r="B264" s="199" t="str">
        <f t="shared" ca="1" si="4"/>
        <v>1. HVAC Design Review</v>
      </c>
      <c r="C264" s="366" t="str">
        <f>'1. HVAC Design Review'!$B$111&amp;'1. HVAC Design Review'!$B$114&amp;"Zone 1"&amp;"_Field"</f>
        <v>Ceiling Nominal R-ValueHome is within ±R-4 of HVAC design?Zone 1_Field</v>
      </c>
      <c r="D264" s="141" t="str">
        <f>'1. HVAC Design Review'!N114</f>
        <v>Yes</v>
      </c>
      <c r="E264" s="141"/>
      <c r="F264" s="141" t="str">
        <f>'1. HVAC Design Review'!$S$111</f>
        <v>4.3.10</v>
      </c>
      <c r="H264"/>
      <c r="I264"/>
      <c r="J264"/>
      <c r="K264"/>
      <c r="L264"/>
      <c r="M264"/>
      <c r="N264"/>
      <c r="O264"/>
      <c r="P264"/>
      <c r="Q264"/>
      <c r="R264"/>
      <c r="S264"/>
      <c r="T264"/>
      <c r="U264"/>
      <c r="V264"/>
      <c r="W264"/>
      <c r="X264"/>
      <c r="Y264"/>
      <c r="Z264"/>
      <c r="AA264"/>
    </row>
    <row r="265" spans="2:27" x14ac:dyDescent="0.25">
      <c r="B265" s="199" t="str">
        <f t="shared" ca="1" si="4"/>
        <v>1. HVAC Design Review</v>
      </c>
      <c r="C265" s="366" t="str">
        <f>'1. HVAC Design Review'!$B$111&amp;'1. HVAC Design Review'!$B$112&amp;"Zone 2"&amp;"_Field"</f>
        <v>Ceiling Nominal R-ValuePredominant ceiling R-value in HVAC designZone 2_Field</v>
      </c>
      <c r="D265" s="97">
        <f>'1. HVAC Design Review'!O112</f>
        <v>0</v>
      </c>
      <c r="E265" s="141"/>
      <c r="F265" s="141" t="str">
        <f>'1. HVAC Design Review'!$S$111</f>
        <v>4.3.10</v>
      </c>
      <c r="H265"/>
      <c r="I265"/>
      <c r="J265"/>
      <c r="K265"/>
      <c r="L265"/>
      <c r="M265"/>
      <c r="N265"/>
      <c r="O265"/>
      <c r="P265"/>
      <c r="Q265"/>
      <c r="R265"/>
      <c r="S265"/>
      <c r="T265"/>
      <c r="U265"/>
      <c r="V265"/>
      <c r="W265"/>
      <c r="X265"/>
      <c r="Y265"/>
      <c r="Z265"/>
      <c r="AA265"/>
    </row>
    <row r="266" spans="2:27" x14ac:dyDescent="0.25">
      <c r="B266" s="199" t="str">
        <f t="shared" ca="1" si="4"/>
        <v>1. HVAC Design Review</v>
      </c>
      <c r="C266" s="366" t="str">
        <f>'1. HVAC Design Review'!$B$111&amp;'1. HVAC Design Review'!$B$113&amp;"Zone 2"&amp;"_Field"</f>
        <v>Ceiling Nominal R-ValuePredominant ceiling R-value in HomeZone 2_Field</v>
      </c>
      <c r="D266" s="97">
        <f>'1. HVAC Design Review'!O113</f>
        <v>0</v>
      </c>
      <c r="E266" s="141"/>
      <c r="F266" s="141" t="str">
        <f>'1. HVAC Design Review'!$S$111</f>
        <v>4.3.10</v>
      </c>
      <c r="H266"/>
      <c r="I266"/>
      <c r="J266"/>
      <c r="K266"/>
      <c r="L266"/>
      <c r="M266"/>
      <c r="N266"/>
      <c r="O266"/>
      <c r="P266"/>
      <c r="Q266"/>
      <c r="R266"/>
      <c r="S266"/>
      <c r="T266"/>
      <c r="U266"/>
      <c r="V266"/>
      <c r="W266"/>
      <c r="X266"/>
      <c r="Y266"/>
      <c r="Z266"/>
      <c r="AA266"/>
    </row>
    <row r="267" spans="2:27" x14ac:dyDescent="0.25">
      <c r="B267" s="199" t="str">
        <f t="shared" ca="1" si="4"/>
        <v>1. HVAC Design Review</v>
      </c>
      <c r="C267" s="366" t="str">
        <f>'1. HVAC Design Review'!$B$111&amp;'1. HVAC Design Review'!$B$114&amp;"Zone 2"&amp;"_Field"</f>
        <v>Ceiling Nominal R-ValueHome is within ±R-4 of HVAC design?Zone 2_Field</v>
      </c>
      <c r="D267" s="141" t="str">
        <f>'1. HVAC Design Review'!O114</f>
        <v>Yes</v>
      </c>
      <c r="E267" s="141"/>
      <c r="F267" s="141" t="str">
        <f>'1. HVAC Design Review'!$S$111</f>
        <v>4.3.10</v>
      </c>
      <c r="H267"/>
      <c r="I267"/>
      <c r="J267"/>
      <c r="K267"/>
      <c r="L267"/>
      <c r="M267"/>
      <c r="N267"/>
      <c r="O267"/>
      <c r="P267"/>
      <c r="Q267"/>
      <c r="R267"/>
      <c r="S267"/>
      <c r="T267"/>
      <c r="U267"/>
      <c r="V267"/>
      <c r="W267"/>
      <c r="X267"/>
      <c r="Y267"/>
      <c r="Z267"/>
      <c r="AA267"/>
    </row>
    <row r="268" spans="2:27" x14ac:dyDescent="0.25">
      <c r="B268" s="199" t="str">
        <f t="shared" ca="1" si="4"/>
        <v>1. HVAC Design Review</v>
      </c>
      <c r="C268" s="366" t="str">
        <f>'1. HVAC Design Review'!$B$111&amp;'1. HVAC Design Review'!$B$112&amp;"Zone 3"&amp;"_Field"</f>
        <v>Ceiling Nominal R-ValuePredominant ceiling R-value in HVAC designZone 3_Field</v>
      </c>
      <c r="D268" s="97">
        <f>'1. HVAC Design Review'!P112</f>
        <v>0</v>
      </c>
      <c r="E268" s="141"/>
      <c r="F268" s="141" t="str">
        <f>'1. HVAC Design Review'!$S$111</f>
        <v>4.3.10</v>
      </c>
      <c r="H268"/>
      <c r="I268"/>
      <c r="J268"/>
      <c r="K268"/>
      <c r="L268"/>
      <c r="M268"/>
      <c r="N268"/>
      <c r="O268"/>
      <c r="P268"/>
      <c r="Q268"/>
      <c r="R268"/>
      <c r="S268"/>
      <c r="T268"/>
      <c r="U268"/>
      <c r="V268"/>
      <c r="W268"/>
      <c r="X268"/>
      <c r="Y268"/>
      <c r="Z268"/>
      <c r="AA268"/>
    </row>
    <row r="269" spans="2:27" x14ac:dyDescent="0.25">
      <c r="B269" s="199" t="str">
        <f t="shared" ca="1" si="4"/>
        <v>1. HVAC Design Review</v>
      </c>
      <c r="C269" s="366" t="str">
        <f>'1. HVAC Design Review'!$B$111&amp;'1. HVAC Design Review'!$B$113&amp;"Zone 3"&amp;"_Field"</f>
        <v>Ceiling Nominal R-ValuePredominant ceiling R-value in HomeZone 3_Field</v>
      </c>
      <c r="D269" s="97">
        <f>'1. HVAC Design Review'!P113</f>
        <v>0</v>
      </c>
      <c r="E269" s="141"/>
      <c r="F269" s="141" t="str">
        <f>'1. HVAC Design Review'!$S$111</f>
        <v>4.3.10</v>
      </c>
      <c r="H269"/>
      <c r="I269"/>
      <c r="J269"/>
      <c r="K269"/>
      <c r="L269"/>
      <c r="M269"/>
      <c r="N269"/>
      <c r="O269"/>
      <c r="P269"/>
      <c r="Q269"/>
      <c r="R269"/>
      <c r="S269"/>
      <c r="T269"/>
      <c r="U269"/>
      <c r="V269"/>
      <c r="W269"/>
      <c r="X269"/>
      <c r="Y269"/>
      <c r="Z269"/>
      <c r="AA269"/>
    </row>
    <row r="270" spans="2:27" x14ac:dyDescent="0.25">
      <c r="B270" s="199" t="str">
        <f t="shared" ca="1" si="4"/>
        <v>1. HVAC Design Review</v>
      </c>
      <c r="C270" s="366" t="str">
        <f>'1. HVAC Design Review'!$B$111&amp;'1. HVAC Design Review'!$B$114&amp;"Zone 3"&amp;"_Field"</f>
        <v>Ceiling Nominal R-ValueHome is within ±R-4 of HVAC design?Zone 3_Field</v>
      </c>
      <c r="D270" s="141" t="str">
        <f>'1. HVAC Design Review'!P114</f>
        <v>Yes</v>
      </c>
      <c r="E270" s="141"/>
      <c r="F270" s="141" t="str">
        <f>'1. HVAC Design Review'!$S$111</f>
        <v>4.3.10</v>
      </c>
      <c r="H270"/>
      <c r="I270"/>
      <c r="J270"/>
      <c r="K270"/>
      <c r="L270"/>
      <c r="M270"/>
      <c r="N270"/>
      <c r="O270"/>
      <c r="P270"/>
      <c r="Q270"/>
      <c r="R270"/>
      <c r="S270"/>
      <c r="T270"/>
      <c r="U270"/>
      <c r="V270"/>
      <c r="W270"/>
      <c r="X270"/>
      <c r="Y270"/>
      <c r="Z270"/>
      <c r="AA270"/>
    </row>
    <row r="271" spans="2:27" x14ac:dyDescent="0.25">
      <c r="B271" s="199" t="str">
        <f t="shared" ca="1" si="4"/>
        <v>1. HVAC Design Review</v>
      </c>
      <c r="C271" s="366" t="str">
        <f>'1. HVAC Design Review'!$B$117&amp;'1. HVAC Design Review'!$B$118&amp;"Zone 1"&amp;"_Field"</f>
        <v>Using Quantitative HVAC Design ValueInfiltration rate used in HVAC designZone 1_Field</v>
      </c>
      <c r="D271" s="365">
        <f>'1. HVAC Design Review'!N118</f>
        <v>0</v>
      </c>
      <c r="E271" s="141" t="str">
        <f>'1. HVAC Design Review'!$R$118</f>
        <v>ACH50</v>
      </c>
      <c r="F271" s="141" t="str">
        <f>'1. HVAC Design Review'!$S$116</f>
        <v>4.3.11</v>
      </c>
      <c r="H271"/>
      <c r="I271"/>
      <c r="J271"/>
      <c r="K271"/>
      <c r="L271"/>
      <c r="M271"/>
      <c r="N271"/>
      <c r="O271"/>
      <c r="P271"/>
      <c r="Q271"/>
      <c r="R271"/>
      <c r="S271"/>
      <c r="T271"/>
      <c r="U271"/>
      <c r="V271"/>
      <c r="W271"/>
      <c r="X271"/>
      <c r="Y271"/>
      <c r="Z271"/>
      <c r="AA271"/>
    </row>
    <row r="272" spans="2:27" x14ac:dyDescent="0.25">
      <c r="B272" s="199" t="str">
        <f t="shared" ca="1" si="4"/>
        <v>1. HVAC Design Review</v>
      </c>
      <c r="C272" s="366" t="str">
        <f>'1. HVAC Design Review'!$B$117&amp;'1. HVAC Design Review'!$B$119&amp;"Zone 1"&amp;"_Field"</f>
        <v>Using Quantitative HVAC Design ValueInfiltration rate of HomeZone 1_Field</v>
      </c>
      <c r="D272" s="365">
        <f>'1. HVAC Design Review'!N119</f>
        <v>0</v>
      </c>
      <c r="E272" s="141" t="str">
        <f>'1. HVAC Design Review'!$R$119</f>
        <v>ACH50</v>
      </c>
      <c r="F272" s="141" t="str">
        <f>'1. HVAC Design Review'!$S$116</f>
        <v>4.3.11</v>
      </c>
      <c r="H272"/>
      <c r="I272"/>
      <c r="J272"/>
      <c r="K272"/>
      <c r="L272"/>
      <c r="M272"/>
      <c r="N272"/>
      <c r="O272"/>
      <c r="P272"/>
      <c r="Q272"/>
      <c r="R272"/>
      <c r="S272"/>
      <c r="T272"/>
      <c r="U272"/>
      <c r="V272"/>
      <c r="W272"/>
      <c r="X272"/>
      <c r="Y272"/>
      <c r="Z272"/>
      <c r="AA272"/>
    </row>
    <row r="273" spans="2:27" x14ac:dyDescent="0.25">
      <c r="B273" s="199" t="str">
        <f t="shared" ca="1" si="4"/>
        <v>1. HVAC Design Review</v>
      </c>
      <c r="C273" s="366" t="str">
        <f>'1. HVAC Design Review'!$B$117&amp;'1. HVAC Design Review'!$B$120&amp;"Zone 1"&amp;"_Field"</f>
        <v>Using Quantitative HVAC Design ValueHome is within ±2.0 of HVAC design?Zone 1_Field</v>
      </c>
      <c r="D273" s="141" t="str">
        <f>'1. HVAC Design Review'!N120</f>
        <v>Yes</v>
      </c>
      <c r="E273" s="141"/>
      <c r="F273" s="141" t="str">
        <f>'1. HVAC Design Review'!$S$116</f>
        <v>4.3.11</v>
      </c>
      <c r="H273"/>
      <c r="I273"/>
      <c r="J273"/>
      <c r="K273"/>
      <c r="L273"/>
      <c r="M273"/>
      <c r="N273"/>
      <c r="O273"/>
      <c r="P273"/>
      <c r="Q273"/>
      <c r="R273"/>
      <c r="S273"/>
      <c r="T273"/>
      <c r="U273"/>
      <c r="V273"/>
      <c r="W273"/>
      <c r="X273"/>
      <c r="Y273"/>
      <c r="Z273"/>
      <c r="AA273"/>
    </row>
    <row r="274" spans="2:27" x14ac:dyDescent="0.25">
      <c r="B274" s="199" t="str">
        <f t="shared" ca="1" si="4"/>
        <v>1. HVAC Design Review</v>
      </c>
      <c r="C274" s="366" t="str">
        <f>'1. HVAC Design Review'!$B$117&amp;'1. HVAC Design Review'!$B$118&amp;"Zone 2"&amp;"_Field"</f>
        <v>Using Quantitative HVAC Design ValueInfiltration rate used in HVAC designZone 2_Field</v>
      </c>
      <c r="D274" s="365">
        <f>'1. HVAC Design Review'!O118</f>
        <v>0</v>
      </c>
      <c r="E274" s="141" t="str">
        <f>'1. HVAC Design Review'!$R$118</f>
        <v>ACH50</v>
      </c>
      <c r="F274" s="141" t="str">
        <f>'1. HVAC Design Review'!$S$116</f>
        <v>4.3.11</v>
      </c>
      <c r="H274"/>
      <c r="I274"/>
      <c r="J274"/>
      <c r="K274"/>
      <c r="L274"/>
      <c r="M274"/>
      <c r="N274"/>
      <c r="O274"/>
      <c r="P274"/>
      <c r="Q274"/>
      <c r="R274"/>
      <c r="S274"/>
      <c r="T274"/>
      <c r="U274"/>
      <c r="V274"/>
      <c r="W274"/>
      <c r="X274"/>
      <c r="Y274"/>
      <c r="Z274"/>
      <c r="AA274"/>
    </row>
    <row r="275" spans="2:27" x14ac:dyDescent="0.25">
      <c r="B275" s="199" t="str">
        <f t="shared" ca="1" si="4"/>
        <v>1. HVAC Design Review</v>
      </c>
      <c r="C275" s="366" t="str">
        <f>'1. HVAC Design Review'!$B$117&amp;'1. HVAC Design Review'!$B$119&amp;"Zone 2"&amp;"_Field"</f>
        <v>Using Quantitative HVAC Design ValueInfiltration rate of HomeZone 2_Field</v>
      </c>
      <c r="D275" s="365">
        <f>'1. HVAC Design Review'!O119</f>
        <v>0</v>
      </c>
      <c r="E275" s="141" t="str">
        <f>'1. HVAC Design Review'!$R$119</f>
        <v>ACH50</v>
      </c>
      <c r="F275" s="141" t="str">
        <f>'1. HVAC Design Review'!$S$116</f>
        <v>4.3.11</v>
      </c>
      <c r="H275"/>
      <c r="I275"/>
      <c r="J275"/>
      <c r="K275"/>
      <c r="L275"/>
      <c r="M275"/>
      <c r="N275"/>
      <c r="O275"/>
      <c r="P275"/>
      <c r="Q275"/>
      <c r="R275"/>
      <c r="S275"/>
      <c r="T275"/>
      <c r="U275"/>
      <c r="V275"/>
      <c r="W275"/>
      <c r="X275"/>
      <c r="Y275"/>
      <c r="Z275"/>
      <c r="AA275"/>
    </row>
    <row r="276" spans="2:27" x14ac:dyDescent="0.25">
      <c r="B276" s="199" t="str">
        <f t="shared" ca="1" si="4"/>
        <v>1. HVAC Design Review</v>
      </c>
      <c r="C276" s="366" t="str">
        <f>'1. HVAC Design Review'!$B$117&amp;'1. HVAC Design Review'!$B$120&amp;"Zone 2"&amp;"_Field"</f>
        <v>Using Quantitative HVAC Design ValueHome is within ±2.0 of HVAC design?Zone 2_Field</v>
      </c>
      <c r="D276" s="141" t="str">
        <f>'1. HVAC Design Review'!O120</f>
        <v>Yes</v>
      </c>
      <c r="E276" s="141"/>
      <c r="F276" s="141" t="str">
        <f>'1. HVAC Design Review'!$S$116</f>
        <v>4.3.11</v>
      </c>
      <c r="H276"/>
      <c r="I276"/>
      <c r="J276"/>
      <c r="K276"/>
      <c r="L276"/>
      <c r="M276"/>
      <c r="N276"/>
      <c r="O276"/>
      <c r="P276"/>
      <c r="Q276"/>
      <c r="R276"/>
      <c r="S276"/>
      <c r="T276"/>
      <c r="U276"/>
      <c r="V276"/>
      <c r="W276"/>
      <c r="X276"/>
      <c r="Y276"/>
      <c r="Z276"/>
      <c r="AA276"/>
    </row>
    <row r="277" spans="2:27" x14ac:dyDescent="0.25">
      <c r="B277" s="199" t="str">
        <f t="shared" ca="1" si="4"/>
        <v>1. HVAC Design Review</v>
      </c>
      <c r="C277" s="366" t="str">
        <f>'1. HVAC Design Review'!$B$117&amp;'1. HVAC Design Review'!$B$118&amp;"Zone 3"&amp;"_Field"</f>
        <v>Using Quantitative HVAC Design ValueInfiltration rate used in HVAC designZone 3_Field</v>
      </c>
      <c r="D277" s="365">
        <f>'1. HVAC Design Review'!P118</f>
        <v>0</v>
      </c>
      <c r="E277" s="141" t="str">
        <f>'1. HVAC Design Review'!$R$118</f>
        <v>ACH50</v>
      </c>
      <c r="F277" s="141" t="str">
        <f>'1. HVAC Design Review'!$S$116</f>
        <v>4.3.11</v>
      </c>
      <c r="H277"/>
      <c r="I277"/>
      <c r="J277"/>
      <c r="K277"/>
      <c r="L277"/>
      <c r="M277"/>
      <c r="N277"/>
      <c r="O277"/>
      <c r="P277"/>
      <c r="Q277"/>
      <c r="R277"/>
      <c r="S277"/>
      <c r="T277"/>
      <c r="U277"/>
      <c r="V277"/>
      <c r="W277"/>
      <c r="X277"/>
      <c r="Y277"/>
      <c r="Z277"/>
      <c r="AA277"/>
    </row>
    <row r="278" spans="2:27" x14ac:dyDescent="0.25">
      <c r="B278" s="199" t="str">
        <f t="shared" ca="1" si="4"/>
        <v>1. HVAC Design Review</v>
      </c>
      <c r="C278" s="366" t="str">
        <f>'1. HVAC Design Review'!$B$117&amp;'1. HVAC Design Review'!$B$119&amp;"Zone 3"&amp;"_Field"</f>
        <v>Using Quantitative HVAC Design ValueInfiltration rate of HomeZone 3_Field</v>
      </c>
      <c r="D278" s="365">
        <f>'1. HVAC Design Review'!P119</f>
        <v>0</v>
      </c>
      <c r="E278" s="141" t="str">
        <f>'1. HVAC Design Review'!$R$119</f>
        <v>ACH50</v>
      </c>
      <c r="F278" s="141" t="str">
        <f>'1. HVAC Design Review'!$S$116</f>
        <v>4.3.11</v>
      </c>
      <c r="H278"/>
      <c r="I278"/>
      <c r="J278"/>
      <c r="K278"/>
      <c r="L278"/>
      <c r="M278"/>
      <c r="N278"/>
      <c r="O278"/>
      <c r="P278"/>
      <c r="Q278"/>
      <c r="R278"/>
      <c r="S278"/>
      <c r="T278"/>
      <c r="U278"/>
      <c r="V278"/>
      <c r="W278"/>
      <c r="X278"/>
      <c r="Y278"/>
      <c r="Z278"/>
      <c r="AA278"/>
    </row>
    <row r="279" spans="2:27" x14ac:dyDescent="0.25">
      <c r="B279" s="199" t="str">
        <f t="shared" ca="1" si="4"/>
        <v>1. HVAC Design Review</v>
      </c>
      <c r="C279" s="366" t="str">
        <f>'1. HVAC Design Review'!$B$117&amp;'1. HVAC Design Review'!$B$120&amp;"Zone 3"&amp;"_Field"</f>
        <v>Using Quantitative HVAC Design ValueHome is within ±2.0 of HVAC design?Zone 3_Field</v>
      </c>
      <c r="D279" s="141" t="str">
        <f>'1. HVAC Design Review'!P120</f>
        <v>Yes</v>
      </c>
      <c r="E279" s="141"/>
      <c r="F279" s="141" t="str">
        <f>'1. HVAC Design Review'!$S$116</f>
        <v>4.3.11</v>
      </c>
      <c r="H279"/>
      <c r="I279"/>
      <c r="J279"/>
      <c r="K279"/>
      <c r="L279"/>
      <c r="M279"/>
      <c r="N279"/>
      <c r="O279"/>
      <c r="P279"/>
      <c r="Q279"/>
      <c r="R279"/>
      <c r="S279"/>
      <c r="T279"/>
      <c r="U279"/>
      <c r="V279"/>
      <c r="W279"/>
      <c r="X279"/>
      <c r="Y279"/>
      <c r="Z279"/>
      <c r="AA279"/>
    </row>
    <row r="280" spans="2:27" x14ac:dyDescent="0.25">
      <c r="B280" s="199" t="str">
        <f t="shared" ca="1" si="4"/>
        <v>1. HVAC Design Review</v>
      </c>
      <c r="C280" s="366" t="str">
        <f>'1. HVAC Design Review'!$B$122&amp;'1. HVAC Design Review'!$B$123&amp;"Zone 1"&amp;"_Field"</f>
        <v>Using Qualitative HVAC Design ValueInfiltration rate used in HVAC designZone 1_Field</v>
      </c>
      <c r="D280" s="97" t="str">
        <f>'1. HVAC Design Review'!N123</f>
        <v>N/A</v>
      </c>
      <c r="E280" s="141"/>
      <c r="F280" s="141" t="str">
        <f>'1. HVAC Design Review'!$S$116</f>
        <v>4.3.11</v>
      </c>
      <c r="H280"/>
      <c r="I280"/>
      <c r="J280"/>
      <c r="K280"/>
      <c r="L280"/>
      <c r="M280"/>
      <c r="N280"/>
      <c r="O280"/>
      <c r="P280"/>
      <c r="Q280"/>
      <c r="R280"/>
      <c r="S280"/>
      <c r="T280"/>
      <c r="U280"/>
      <c r="V280"/>
      <c r="W280"/>
      <c r="X280"/>
      <c r="Y280"/>
      <c r="Z280"/>
      <c r="AA280"/>
    </row>
    <row r="281" spans="2:27" x14ac:dyDescent="0.25">
      <c r="B281" s="199" t="str">
        <f t="shared" ca="1" si="4"/>
        <v>1. HVAC Design Review</v>
      </c>
      <c r="C281" s="366" t="str">
        <f>'1. HVAC Design Review'!$B$122&amp;'1. HVAC Design Review'!$B$124&amp;"Zone 1"&amp;"_Field"</f>
        <v>Using Qualitative HVAC Design ValueInfiltration rate of HomeZone 1_Field</v>
      </c>
      <c r="D281" s="365">
        <f>'1. HVAC Design Review'!N124</f>
        <v>0</v>
      </c>
      <c r="E281" s="141" t="str">
        <f>'1. HVAC Design Review'!$R$124</f>
        <v>ACH50</v>
      </c>
      <c r="F281" s="141" t="str">
        <f>'1. HVAC Design Review'!$S$116</f>
        <v>4.3.11</v>
      </c>
      <c r="H281"/>
      <c r="I281"/>
      <c r="J281"/>
      <c r="K281"/>
      <c r="L281"/>
      <c r="M281"/>
      <c r="N281"/>
      <c r="O281"/>
      <c r="P281"/>
      <c r="Q281"/>
      <c r="R281"/>
      <c r="S281"/>
      <c r="T281"/>
      <c r="U281"/>
      <c r="V281"/>
      <c r="W281"/>
      <c r="X281"/>
      <c r="Y281"/>
      <c r="Z281"/>
      <c r="AA281"/>
    </row>
    <row r="282" spans="2:27" x14ac:dyDescent="0.25">
      <c r="B282" s="199" t="str">
        <f t="shared" ca="1" si="4"/>
        <v>1. HVAC Design Review</v>
      </c>
      <c r="C282" s="366" t="str">
        <f>'1. HVAC Design Review'!$B$122&amp;'1. HVAC Design Review'!$B$125&amp;"Zone 1"&amp;"_Field"</f>
        <v>Using Qualitative HVAC Design ValueHome is within Table 1 tolerance for input used in HVAC design?Zone 1_Field</v>
      </c>
      <c r="D282" s="141" t="str">
        <f>'1. HVAC Design Review'!N125</f>
        <v>N/A</v>
      </c>
      <c r="E282" s="141"/>
      <c r="F282" s="141" t="str">
        <f>'1. HVAC Design Review'!$S$116</f>
        <v>4.3.11</v>
      </c>
      <c r="H282"/>
      <c r="I282"/>
      <c r="J282"/>
      <c r="K282"/>
      <c r="L282"/>
      <c r="M282"/>
      <c r="N282"/>
      <c r="O282"/>
      <c r="P282"/>
      <c r="Q282"/>
      <c r="R282"/>
      <c r="S282"/>
      <c r="T282"/>
      <c r="U282"/>
      <c r="V282"/>
      <c r="W282"/>
      <c r="X282"/>
      <c r="Y282"/>
      <c r="Z282"/>
      <c r="AA282"/>
    </row>
    <row r="283" spans="2:27" x14ac:dyDescent="0.25">
      <c r="B283" s="199" t="str">
        <f t="shared" ca="1" si="4"/>
        <v>1. HVAC Design Review</v>
      </c>
      <c r="C283" s="366" t="str">
        <f>'1. HVAC Design Review'!$B$122&amp;'1. HVAC Design Review'!$B$123&amp;"Zone 2"&amp;"_Field"</f>
        <v>Using Qualitative HVAC Design ValueInfiltration rate used in HVAC designZone 2_Field</v>
      </c>
      <c r="D283" s="97" t="str">
        <f>'1. HVAC Design Review'!O123</f>
        <v>N/A</v>
      </c>
      <c r="E283" s="141"/>
      <c r="F283" s="141" t="str">
        <f>'1. HVAC Design Review'!$S$116</f>
        <v>4.3.11</v>
      </c>
      <c r="H283"/>
      <c r="I283"/>
      <c r="J283"/>
      <c r="K283"/>
      <c r="L283"/>
      <c r="M283"/>
      <c r="N283"/>
      <c r="O283"/>
      <c r="P283"/>
      <c r="Q283"/>
      <c r="R283"/>
      <c r="S283"/>
      <c r="T283"/>
      <c r="U283"/>
      <c r="V283"/>
      <c r="W283"/>
      <c r="X283"/>
      <c r="Y283"/>
      <c r="Z283"/>
      <c r="AA283"/>
    </row>
    <row r="284" spans="2:27" x14ac:dyDescent="0.25">
      <c r="B284" s="199" t="str">
        <f t="shared" ref="B284:B319" ca="1" si="5">MID(CELL("filename",INDIRECT(RIGHT(_xlfn.FORMULATEXT(D284),LEN(_xlfn.FORMULATEXT(D284))-1),TRUE)),FIND("]",CELL("filename",INDIRECT(RIGHT(_xlfn.FORMULATEXT(D284),LEN(_xlfn.FORMULATEXT(D284))-1),TRUE)))+1,255)</f>
        <v>1. HVAC Design Review</v>
      </c>
      <c r="C284" s="366" t="str">
        <f>'1. HVAC Design Review'!$B$122&amp;'1. HVAC Design Review'!$B$124&amp;"Zone 2"&amp;"_Field"</f>
        <v>Using Qualitative HVAC Design ValueInfiltration rate of HomeZone 2_Field</v>
      </c>
      <c r="D284" s="365">
        <f>'1. HVAC Design Review'!O124</f>
        <v>0</v>
      </c>
      <c r="E284" s="141" t="str">
        <f>'1. HVAC Design Review'!$R$124</f>
        <v>ACH50</v>
      </c>
      <c r="F284" s="141" t="str">
        <f>'1. HVAC Design Review'!$S$116</f>
        <v>4.3.11</v>
      </c>
      <c r="H284"/>
      <c r="I284"/>
      <c r="J284"/>
      <c r="K284"/>
      <c r="L284"/>
      <c r="M284"/>
      <c r="N284"/>
      <c r="O284"/>
      <c r="P284"/>
      <c r="Q284"/>
      <c r="R284"/>
      <c r="S284"/>
      <c r="T284"/>
      <c r="U284"/>
      <c r="V284"/>
      <c r="W284"/>
      <c r="X284"/>
      <c r="Y284"/>
      <c r="Z284"/>
      <c r="AA284"/>
    </row>
    <row r="285" spans="2:27" x14ac:dyDescent="0.25">
      <c r="B285" s="199" t="str">
        <f t="shared" ca="1" si="5"/>
        <v>1. HVAC Design Review</v>
      </c>
      <c r="C285" s="366" t="str">
        <f>'1. HVAC Design Review'!$B$122&amp;'1. HVAC Design Review'!$B$125&amp;"Zone 2"&amp;"_Field"</f>
        <v>Using Qualitative HVAC Design ValueHome is within Table 1 tolerance for input used in HVAC design?Zone 2_Field</v>
      </c>
      <c r="D285" s="141" t="str">
        <f>'1. HVAC Design Review'!O125</f>
        <v>N/A</v>
      </c>
      <c r="E285" s="141"/>
      <c r="F285" s="141" t="str">
        <f>'1. HVAC Design Review'!$S$116</f>
        <v>4.3.11</v>
      </c>
      <c r="H285"/>
      <c r="I285"/>
      <c r="J285"/>
      <c r="K285"/>
      <c r="L285"/>
      <c r="M285"/>
      <c r="N285"/>
      <c r="O285"/>
      <c r="P285"/>
      <c r="Q285"/>
      <c r="R285"/>
      <c r="S285"/>
      <c r="T285"/>
      <c r="U285"/>
      <c r="V285"/>
      <c r="W285"/>
      <c r="X285"/>
      <c r="Y285"/>
      <c r="Z285"/>
      <c r="AA285"/>
    </row>
    <row r="286" spans="2:27" x14ac:dyDescent="0.25">
      <c r="B286" s="199" t="str">
        <f t="shared" ca="1" si="5"/>
        <v>1. HVAC Design Review</v>
      </c>
      <c r="C286" s="366" t="str">
        <f>'1. HVAC Design Review'!$B$122&amp;'1. HVAC Design Review'!$B$123&amp;"Zone 3"&amp;"_Field"</f>
        <v>Using Qualitative HVAC Design ValueInfiltration rate used in HVAC designZone 3_Field</v>
      </c>
      <c r="D286" s="97" t="str">
        <f>'1. HVAC Design Review'!P123</f>
        <v>N/A</v>
      </c>
      <c r="E286" s="141"/>
      <c r="F286" s="141" t="str">
        <f>'1. HVAC Design Review'!$S$116</f>
        <v>4.3.11</v>
      </c>
      <c r="H286"/>
      <c r="I286"/>
      <c r="J286"/>
      <c r="K286"/>
      <c r="L286"/>
      <c r="M286"/>
      <c r="N286"/>
      <c r="O286"/>
      <c r="P286"/>
      <c r="Q286"/>
      <c r="R286"/>
      <c r="S286"/>
      <c r="T286"/>
      <c r="U286"/>
      <c r="V286"/>
      <c r="W286"/>
      <c r="X286"/>
      <c r="Y286"/>
      <c r="Z286"/>
      <c r="AA286"/>
    </row>
    <row r="287" spans="2:27" x14ac:dyDescent="0.25">
      <c r="B287" s="199" t="str">
        <f t="shared" ca="1" si="5"/>
        <v>1. HVAC Design Review</v>
      </c>
      <c r="C287" s="366" t="str">
        <f>'1. HVAC Design Review'!$B$122&amp;'1. HVAC Design Review'!$B$124&amp;"Zone 3"&amp;"_Field"</f>
        <v>Using Qualitative HVAC Design ValueInfiltration rate of HomeZone 3_Field</v>
      </c>
      <c r="D287" s="365">
        <f>'1. HVAC Design Review'!P124</f>
        <v>0</v>
      </c>
      <c r="E287" s="141" t="str">
        <f>'1. HVAC Design Review'!$R$124</f>
        <v>ACH50</v>
      </c>
      <c r="F287" s="141" t="str">
        <f>'1. HVAC Design Review'!$S$116</f>
        <v>4.3.11</v>
      </c>
      <c r="H287"/>
      <c r="I287"/>
      <c r="J287"/>
      <c r="K287"/>
      <c r="L287"/>
      <c r="M287"/>
      <c r="N287"/>
      <c r="O287"/>
      <c r="P287"/>
      <c r="Q287"/>
      <c r="R287"/>
      <c r="S287"/>
      <c r="T287"/>
      <c r="U287"/>
      <c r="V287"/>
      <c r="W287"/>
      <c r="X287"/>
      <c r="Y287"/>
      <c r="Z287"/>
      <c r="AA287"/>
    </row>
    <row r="288" spans="2:27" x14ac:dyDescent="0.25">
      <c r="B288" s="199" t="str">
        <f t="shared" ca="1" si="5"/>
        <v>1. HVAC Design Review</v>
      </c>
      <c r="C288" s="366" t="str">
        <f>'1. HVAC Design Review'!$B$122&amp;'1. HVAC Design Review'!$B$125&amp;"Zone 3"&amp;"_Field"</f>
        <v>Using Qualitative HVAC Design ValueHome is within Table 1 tolerance for input used in HVAC design?Zone 3_Field</v>
      </c>
      <c r="D288" s="141" t="str">
        <f>'1. HVAC Design Review'!P125</f>
        <v>N/A</v>
      </c>
      <c r="E288" s="141"/>
      <c r="F288" s="141" t="str">
        <f>'1. HVAC Design Review'!$S$116</f>
        <v>4.3.11</v>
      </c>
      <c r="H288"/>
      <c r="I288"/>
      <c r="J288"/>
      <c r="K288"/>
      <c r="L288"/>
      <c r="M288"/>
      <c r="N288"/>
      <c r="O288"/>
      <c r="P288"/>
      <c r="Q288"/>
      <c r="R288"/>
      <c r="S288"/>
      <c r="T288"/>
      <c r="U288"/>
      <c r="V288"/>
      <c r="W288"/>
      <c r="X288"/>
      <c r="Y288"/>
      <c r="Z288"/>
      <c r="AA288"/>
    </row>
    <row r="289" spans="2:27" x14ac:dyDescent="0.25">
      <c r="B289" s="199" t="str">
        <f t="shared" ca="1" si="5"/>
        <v>1. HVAC Design Review</v>
      </c>
      <c r="C289" s="366" t="str">
        <f>'1. HVAC Design Review'!$B$127&amp;'1. HVAC Design Review'!$B$128&amp;"Zone 1"&amp;"_Field"</f>
        <v>Mechanical Ventilation System Design Airflow RateHVAC design's time-averaged vent. rate, for each ventilation zoneZone 1_Field</v>
      </c>
      <c r="D289" s="365">
        <f>'1. HVAC Design Review'!N128</f>
        <v>0</v>
      </c>
      <c r="E289" s="141"/>
      <c r="F289" s="141" t="str">
        <f>'1. HVAC Design Review'!$S$127</f>
        <v>4.3.12</v>
      </c>
      <c r="H289"/>
      <c r="I289"/>
      <c r="J289"/>
      <c r="K289"/>
      <c r="L289"/>
      <c r="M289"/>
      <c r="N289"/>
      <c r="O289"/>
      <c r="P289"/>
      <c r="Q289"/>
      <c r="R289"/>
      <c r="S289"/>
      <c r="T289"/>
      <c r="U289"/>
      <c r="V289"/>
      <c r="W289"/>
      <c r="X289"/>
      <c r="Y289"/>
      <c r="Z289"/>
      <c r="AA289"/>
    </row>
    <row r="290" spans="2:27" x14ac:dyDescent="0.25">
      <c r="B290" s="199" t="str">
        <f t="shared" ca="1" si="5"/>
        <v>1. HVAC Design Review</v>
      </c>
      <c r="C290" s="366" t="str">
        <f>'1. HVAC Design Review'!$B$127&amp;'1. HVAC Design Review'!$B$129&amp;"Zone 1"&amp;"_Field"</f>
        <v>Mechanical Ventilation System Design Airflow RateHVAC design's time-averaged vent. rate used in loads, for each heating / cooling zone Zone 1_Field</v>
      </c>
      <c r="D290" s="365">
        <f>'1. HVAC Design Review'!N129</f>
        <v>0</v>
      </c>
      <c r="E290" s="141"/>
      <c r="F290" s="141" t="str">
        <f>'1. HVAC Design Review'!$S$127</f>
        <v>4.3.12</v>
      </c>
      <c r="H290"/>
      <c r="I290"/>
      <c r="J290"/>
      <c r="K290"/>
      <c r="L290"/>
      <c r="M290"/>
      <c r="N290"/>
      <c r="O290"/>
      <c r="P290"/>
      <c r="Q290"/>
      <c r="R290"/>
      <c r="S290"/>
      <c r="T290"/>
      <c r="U290"/>
      <c r="V290"/>
      <c r="W290"/>
      <c r="X290"/>
      <c r="Y290"/>
      <c r="Z290"/>
      <c r="AA290"/>
    </row>
    <row r="291" spans="2:27" x14ac:dyDescent="0.25">
      <c r="B291" s="199" t="str">
        <f t="shared" ca="1" si="5"/>
        <v>1. HVAC Design Review</v>
      </c>
      <c r="C291" s="366" t="str">
        <f>'1. HVAC Design Review'!$B$127&amp;'1. HVAC Design Review'!$B$128&amp;"Zone 2"&amp;"_Field"</f>
        <v>Mechanical Ventilation System Design Airflow RateHVAC design's time-averaged vent. rate, for each ventilation zoneZone 2_Field</v>
      </c>
      <c r="D291" s="365">
        <f>'1. HVAC Design Review'!O128</f>
        <v>0</v>
      </c>
      <c r="E291" s="141"/>
      <c r="F291" s="141" t="str">
        <f>'1. HVAC Design Review'!$S$127</f>
        <v>4.3.12</v>
      </c>
      <c r="H291"/>
      <c r="I291"/>
      <c r="J291"/>
      <c r="K291"/>
      <c r="L291"/>
      <c r="M291"/>
      <c r="N291"/>
      <c r="O291"/>
      <c r="P291"/>
      <c r="Q291"/>
      <c r="R291"/>
      <c r="S291"/>
      <c r="T291"/>
      <c r="U291"/>
      <c r="V291"/>
      <c r="W291"/>
      <c r="X291"/>
      <c r="Y291"/>
      <c r="Z291"/>
      <c r="AA291"/>
    </row>
    <row r="292" spans="2:27" x14ac:dyDescent="0.25">
      <c r="B292" s="199" t="str">
        <f t="shared" ca="1" si="5"/>
        <v>1. HVAC Design Review</v>
      </c>
      <c r="C292" s="366" t="str">
        <f>'1. HVAC Design Review'!$B$127&amp;'1. HVAC Design Review'!$B$129&amp;"Zone 2"&amp;"_Field"</f>
        <v>Mechanical Ventilation System Design Airflow RateHVAC design's time-averaged vent. rate used in loads, for each heating / cooling zone Zone 2_Field</v>
      </c>
      <c r="D292" s="365">
        <f>'1. HVAC Design Review'!O129</f>
        <v>0</v>
      </c>
      <c r="E292" s="141"/>
      <c r="F292" s="141" t="str">
        <f>'1. HVAC Design Review'!$S$127</f>
        <v>4.3.12</v>
      </c>
      <c r="H292"/>
      <c r="I292"/>
      <c r="J292"/>
      <c r="K292"/>
      <c r="L292"/>
      <c r="M292"/>
      <c r="N292"/>
      <c r="O292"/>
      <c r="P292"/>
      <c r="Q292"/>
      <c r="R292"/>
      <c r="S292"/>
      <c r="T292"/>
      <c r="U292"/>
      <c r="V292"/>
      <c r="W292"/>
      <c r="X292"/>
      <c r="Y292"/>
      <c r="Z292"/>
      <c r="AA292"/>
    </row>
    <row r="293" spans="2:27" x14ac:dyDescent="0.25">
      <c r="B293" s="199" t="str">
        <f t="shared" ca="1" si="5"/>
        <v>1. HVAC Design Review</v>
      </c>
      <c r="C293" s="366" t="str">
        <f>'1. HVAC Design Review'!$B$127&amp;'1. HVAC Design Review'!$B$128&amp;"Zone 3"&amp;"_Field"</f>
        <v>Mechanical Ventilation System Design Airflow RateHVAC design's time-averaged vent. rate, for each ventilation zoneZone 3_Field</v>
      </c>
      <c r="D293" s="365">
        <f>'1. HVAC Design Review'!P128</f>
        <v>0</v>
      </c>
      <c r="E293" s="141"/>
      <c r="F293" s="141" t="str">
        <f>'1. HVAC Design Review'!$S$127</f>
        <v>4.3.12</v>
      </c>
      <c r="H293"/>
      <c r="I293"/>
      <c r="J293"/>
      <c r="K293"/>
      <c r="L293"/>
      <c r="M293"/>
      <c r="N293"/>
      <c r="O293"/>
      <c r="P293"/>
      <c r="Q293"/>
      <c r="R293"/>
      <c r="S293"/>
      <c r="T293"/>
      <c r="U293"/>
      <c r="V293"/>
      <c r="W293"/>
      <c r="X293"/>
      <c r="Y293"/>
      <c r="Z293"/>
      <c r="AA293"/>
    </row>
    <row r="294" spans="2:27" x14ac:dyDescent="0.25">
      <c r="B294" s="199" t="str">
        <f t="shared" ca="1" si="5"/>
        <v>1. HVAC Design Review</v>
      </c>
      <c r="C294" s="366" t="str">
        <f>'1. HVAC Design Review'!$B$127&amp;'1. HVAC Design Review'!$B$129&amp;"Zone 3"&amp;"_Field"</f>
        <v>Mechanical Ventilation System Design Airflow RateHVAC design's time-averaged vent. rate used in loads, for each heating / cooling zone Zone 3_Field</v>
      </c>
      <c r="D294" s="365">
        <f>'1. HVAC Design Review'!P129</f>
        <v>0</v>
      </c>
      <c r="E294" s="141"/>
      <c r="F294" s="141" t="str">
        <f>'1. HVAC Design Review'!$S$127</f>
        <v>4.3.12</v>
      </c>
      <c r="H294"/>
      <c r="I294"/>
      <c r="J294"/>
      <c r="K294"/>
      <c r="L294"/>
      <c r="M294"/>
      <c r="N294"/>
      <c r="O294"/>
      <c r="P294"/>
      <c r="Q294"/>
      <c r="R294"/>
      <c r="S294"/>
      <c r="T294"/>
      <c r="U294"/>
      <c r="V294"/>
      <c r="W294"/>
      <c r="X294"/>
      <c r="Y294"/>
      <c r="Z294"/>
      <c r="AA294"/>
    </row>
    <row r="295" spans="2:27" x14ac:dyDescent="0.25">
      <c r="B295" s="199" t="str">
        <f t="shared" ca="1" si="5"/>
        <v>1. HVAC Design Review</v>
      </c>
      <c r="C295" s="199" t="str">
        <f>'1. HVAC Design Review'!$B$131&amp;"_Field"</f>
        <v>Is the sum of the time-averaged design vent. rate across all vent. zones equal to the sum of the time-averaged design vent. rate used in the loads across all heated / cooled zones?_Field</v>
      </c>
      <c r="D295" s="362" t="str">
        <f>'1. HVAC Design Review'!P131</f>
        <v>Yes</v>
      </c>
      <c r="E295" s="141"/>
      <c r="F295" s="141" t="str">
        <f>'1. HVAC Design Review'!$S$127</f>
        <v>4.3.12</v>
      </c>
      <c r="H295"/>
      <c r="I295"/>
      <c r="J295"/>
      <c r="K295"/>
      <c r="L295"/>
      <c r="M295"/>
      <c r="N295"/>
      <c r="O295"/>
      <c r="P295"/>
      <c r="Q295"/>
      <c r="R295"/>
      <c r="S295"/>
      <c r="T295"/>
      <c r="U295"/>
      <c r="V295"/>
      <c r="W295"/>
      <c r="X295"/>
      <c r="Y295"/>
      <c r="Z295"/>
      <c r="AA295"/>
    </row>
    <row r="296" spans="2:27" x14ac:dyDescent="0.25">
      <c r="B296" s="199" t="str">
        <f t="shared" ca="1" si="5"/>
        <v>1. HVAC Design Review</v>
      </c>
      <c r="C296" s="199" t="str">
        <f>'1. HVAC Design Review'!$B$135&amp;"_Field"</f>
        <v>Does each HVAC system in the Home serve the zone(s) specified in the HVAC design?_Field</v>
      </c>
      <c r="D296" s="96" t="str">
        <f>'1. HVAC Design Review'!P135</f>
        <v>Yes</v>
      </c>
      <c r="E296" s="141"/>
      <c r="F296" s="141" t="str">
        <f>'1. HVAC Design Review'!$S$135</f>
        <v>4.3.13</v>
      </c>
      <c r="H296"/>
      <c r="I296"/>
      <c r="J296"/>
      <c r="K296"/>
      <c r="L296"/>
      <c r="M296"/>
      <c r="N296"/>
      <c r="O296"/>
      <c r="P296"/>
      <c r="Q296"/>
      <c r="R296"/>
      <c r="S296"/>
      <c r="T296"/>
      <c r="U296"/>
      <c r="V296"/>
      <c r="W296"/>
      <c r="X296"/>
      <c r="Y296"/>
      <c r="Z296"/>
      <c r="AA296"/>
    </row>
    <row r="297" spans="2:27" x14ac:dyDescent="0.25">
      <c r="B297" s="199" t="str">
        <f t="shared" ca="1" si="5"/>
        <v>1. HVAC Design Review</v>
      </c>
      <c r="C297" s="366" t="str">
        <f>'1. HVAC Design Review'!$B$136&amp;"_Field"</f>
        <v>Does each HVAC System in Home match the equipment type specified in the HVAC design?_Field</v>
      </c>
      <c r="D297" s="96" t="str">
        <f>'1. HVAC Design Review'!P136</f>
        <v>Yes</v>
      </c>
      <c r="E297" s="141"/>
      <c r="F297" s="141" t="str">
        <f>'1. HVAC Design Review'!$S$136</f>
        <v>4.3.14</v>
      </c>
      <c r="H297"/>
      <c r="I297"/>
      <c r="J297"/>
      <c r="K297"/>
      <c r="L297"/>
      <c r="M297"/>
      <c r="N297"/>
      <c r="O297"/>
      <c r="P297"/>
      <c r="Q297"/>
      <c r="R297"/>
      <c r="S297"/>
      <c r="T297"/>
      <c r="U297"/>
      <c r="V297"/>
      <c r="W297"/>
      <c r="X297"/>
      <c r="Y297"/>
      <c r="Z297"/>
      <c r="AA297"/>
    </row>
    <row r="298" spans="2:27" x14ac:dyDescent="0.25">
      <c r="B298" s="199" t="str">
        <f t="shared" ca="1" si="5"/>
        <v>1. HVAC Design Review</v>
      </c>
      <c r="C298" s="366" t="str">
        <f>'1. HVAC Design Review'!$B$138&amp;'1. HVAC Design Review'!$B$139&amp;"Zone 1"&amp;"_Field"</f>
        <v>Design AirflowsIn HVAC design, sum of design airflows across all roomsZone 1_Field</v>
      </c>
      <c r="D298" s="97">
        <f>'1. HVAC Design Review'!N139</f>
        <v>0</v>
      </c>
      <c r="E298" s="141" t="str">
        <f>'1. HVAC Design Review'!$R$139</f>
        <v>CFM</v>
      </c>
      <c r="F298" s="141" t="str">
        <f>'1. HVAC Design Review'!$S$139</f>
        <v>4.3.15</v>
      </c>
      <c r="H298"/>
      <c r="I298"/>
      <c r="J298"/>
      <c r="K298"/>
      <c r="L298"/>
      <c r="M298"/>
      <c r="N298"/>
      <c r="O298"/>
      <c r="P298"/>
      <c r="Q298"/>
      <c r="R298"/>
      <c r="S298"/>
      <c r="T298"/>
      <c r="U298"/>
      <c r="V298"/>
      <c r="W298"/>
      <c r="X298"/>
      <c r="Y298"/>
      <c r="Z298"/>
      <c r="AA298"/>
    </row>
    <row r="299" spans="2:27" x14ac:dyDescent="0.25">
      <c r="B299" s="199" t="str">
        <f t="shared" ca="1" si="5"/>
        <v>1. HVAC Design Review</v>
      </c>
      <c r="C299" s="366" t="str">
        <f>'1. HVAC Design Review'!$B$138&amp;'1. HVAC Design Review'!$B$140&amp;"Zone 1"&amp;"_Field"</f>
        <v>Design AirflowsIn HVAC design, design airflow of system in cooling mode (if applicable)Zone 1_Field</v>
      </c>
      <c r="D299" s="97">
        <f>'1. HVAC Design Review'!N140</f>
        <v>0</v>
      </c>
      <c r="E299" s="141" t="str">
        <f>'1. HVAC Design Review'!$R$139</f>
        <v>CFM</v>
      </c>
      <c r="F299" s="141" t="str">
        <f>'1. HVAC Design Review'!$S$139</f>
        <v>4.3.15</v>
      </c>
      <c r="H299"/>
      <c r="I299"/>
      <c r="J299"/>
      <c r="K299"/>
      <c r="L299"/>
      <c r="M299"/>
      <c r="N299"/>
      <c r="O299"/>
      <c r="P299"/>
      <c r="Q299"/>
      <c r="R299"/>
      <c r="S299"/>
      <c r="T299"/>
      <c r="U299"/>
      <c r="V299"/>
      <c r="W299"/>
      <c r="X299"/>
      <c r="Y299"/>
      <c r="Z299"/>
      <c r="AA299"/>
    </row>
    <row r="300" spans="2:27" x14ac:dyDescent="0.25">
      <c r="B300" s="199" t="str">
        <f t="shared" ca="1" si="5"/>
        <v>1. HVAC Design Review</v>
      </c>
      <c r="C300" s="366" t="str">
        <f>'1. HVAC Design Review'!$B$138&amp;'1. HVAC Design Review'!$B$141&amp;"Zone 1"&amp;"_Field"</f>
        <v>Design AirflowsIn HVAC design, design airflow of system in heating mode (if applicable)Zone 1_Field</v>
      </c>
      <c r="D300" s="97">
        <f>'1. HVAC Design Review'!N141</f>
        <v>0</v>
      </c>
      <c r="E300" s="141" t="str">
        <f>'1. HVAC Design Review'!$R$139</f>
        <v>CFM</v>
      </c>
      <c r="F300" s="141" t="str">
        <f>'1. HVAC Design Review'!$S$139</f>
        <v>4.3.15</v>
      </c>
      <c r="H300"/>
      <c r="I300"/>
      <c r="J300"/>
      <c r="K300"/>
      <c r="L300"/>
      <c r="M300"/>
      <c r="N300"/>
      <c r="O300"/>
      <c r="P300"/>
      <c r="Q300"/>
      <c r="R300"/>
      <c r="S300"/>
      <c r="T300"/>
      <c r="U300"/>
      <c r="V300"/>
      <c r="W300"/>
      <c r="X300"/>
      <c r="Y300"/>
      <c r="Z300"/>
      <c r="AA300"/>
    </row>
    <row r="301" spans="2:27" x14ac:dyDescent="0.25">
      <c r="B301" s="199" t="str">
        <f t="shared" ca="1" si="5"/>
        <v>1. HVAC Design Review</v>
      </c>
      <c r="C301" s="366" t="str">
        <f>'1. HVAC Design Review'!$B$138&amp;'1. HVAC Design Review'!$B$142&amp;"Zone 1"&amp;"_Field"</f>
        <v>Design AirflowsDoes the sum of design airflows across all rooms equal airflow of mode with higher airflow?Zone 1_Field</v>
      </c>
      <c r="D301" s="97" t="str">
        <f>'1. HVAC Design Review'!N142</f>
        <v>Yes</v>
      </c>
      <c r="E301" s="141"/>
      <c r="F301" s="141" t="str">
        <f>'1. HVAC Design Review'!$S$139</f>
        <v>4.3.15</v>
      </c>
      <c r="H301"/>
      <c r="I301"/>
      <c r="J301"/>
      <c r="K301"/>
      <c r="L301"/>
      <c r="M301"/>
      <c r="N301"/>
      <c r="O301"/>
      <c r="P301"/>
      <c r="Q301"/>
      <c r="R301"/>
      <c r="S301"/>
      <c r="T301"/>
      <c r="U301"/>
      <c r="V301"/>
      <c r="W301"/>
      <c r="X301"/>
      <c r="Y301"/>
      <c r="Z301"/>
      <c r="AA301"/>
    </row>
    <row r="302" spans="2:27" x14ac:dyDescent="0.25">
      <c r="B302" s="199" t="str">
        <f t="shared" ca="1" si="5"/>
        <v>1. HVAC Design Review</v>
      </c>
      <c r="C302" s="366" t="str">
        <f>'1. HVAC Design Review'!$B$138&amp;'1. HVAC Design Review'!$B$139&amp;"Zone 2"&amp;"_Field"</f>
        <v>Design AirflowsIn HVAC design, sum of design airflows across all roomsZone 2_Field</v>
      </c>
      <c r="D302" s="97">
        <f>'1. HVAC Design Review'!O139</f>
        <v>0</v>
      </c>
      <c r="E302" s="141" t="str">
        <f>'1. HVAC Design Review'!$R$139</f>
        <v>CFM</v>
      </c>
      <c r="F302" s="141" t="str">
        <f>'1. HVAC Design Review'!$S$139</f>
        <v>4.3.15</v>
      </c>
      <c r="H302"/>
      <c r="I302"/>
      <c r="J302"/>
      <c r="K302"/>
      <c r="L302"/>
      <c r="M302"/>
      <c r="N302"/>
      <c r="O302"/>
      <c r="P302"/>
      <c r="Q302"/>
      <c r="R302"/>
      <c r="S302"/>
      <c r="T302"/>
      <c r="U302"/>
      <c r="V302"/>
      <c r="W302"/>
      <c r="X302"/>
      <c r="Y302"/>
      <c r="Z302"/>
      <c r="AA302"/>
    </row>
    <row r="303" spans="2:27" x14ac:dyDescent="0.25">
      <c r="B303" s="199" t="str">
        <f t="shared" ca="1" si="5"/>
        <v>1. HVAC Design Review</v>
      </c>
      <c r="C303" s="366" t="str">
        <f>'1. HVAC Design Review'!$B$138&amp;'1. HVAC Design Review'!$B$140&amp;"Zone 2"&amp;"_Field"</f>
        <v>Design AirflowsIn HVAC design, design airflow of system in cooling mode (if applicable)Zone 2_Field</v>
      </c>
      <c r="D303" s="97">
        <f>'1. HVAC Design Review'!O140</f>
        <v>0</v>
      </c>
      <c r="E303" s="141" t="str">
        <f>'1. HVAC Design Review'!$R$139</f>
        <v>CFM</v>
      </c>
      <c r="F303" s="141" t="str">
        <f>'1. HVAC Design Review'!$S$139</f>
        <v>4.3.15</v>
      </c>
      <c r="H303"/>
      <c r="I303"/>
      <c r="J303"/>
      <c r="K303"/>
      <c r="L303"/>
      <c r="M303"/>
      <c r="N303"/>
      <c r="O303"/>
      <c r="P303"/>
      <c r="Q303"/>
      <c r="R303"/>
      <c r="S303"/>
      <c r="T303"/>
      <c r="U303"/>
      <c r="V303"/>
      <c r="W303"/>
      <c r="X303"/>
      <c r="Y303"/>
      <c r="Z303"/>
      <c r="AA303"/>
    </row>
    <row r="304" spans="2:27" x14ac:dyDescent="0.25">
      <c r="B304" s="199" t="str">
        <f t="shared" ca="1" si="5"/>
        <v>1. HVAC Design Review</v>
      </c>
      <c r="C304" s="366" t="str">
        <f>'1. HVAC Design Review'!$B$138&amp;'1. HVAC Design Review'!$B$141&amp;"Zone 2"&amp;"_Field"</f>
        <v>Design AirflowsIn HVAC design, design airflow of system in heating mode (if applicable)Zone 2_Field</v>
      </c>
      <c r="D304" s="97">
        <f>'1. HVAC Design Review'!O141</f>
        <v>0</v>
      </c>
      <c r="E304" s="141" t="str">
        <f>'1. HVAC Design Review'!$R$139</f>
        <v>CFM</v>
      </c>
      <c r="F304" s="141" t="str">
        <f>'1. HVAC Design Review'!$S$139</f>
        <v>4.3.15</v>
      </c>
      <c r="H304"/>
      <c r="I304"/>
      <c r="J304"/>
      <c r="K304"/>
      <c r="L304"/>
      <c r="M304"/>
      <c r="N304"/>
      <c r="O304"/>
      <c r="P304"/>
      <c r="Q304"/>
      <c r="R304"/>
      <c r="S304"/>
      <c r="T304"/>
      <c r="U304"/>
      <c r="V304"/>
      <c r="W304"/>
      <c r="X304"/>
      <c r="Y304"/>
      <c r="Z304"/>
      <c r="AA304"/>
    </row>
    <row r="305" spans="1:27" x14ac:dyDescent="0.25">
      <c r="B305" s="199" t="str">
        <f t="shared" ca="1" si="5"/>
        <v>1. HVAC Design Review</v>
      </c>
      <c r="C305" s="366" t="str">
        <f>'1. HVAC Design Review'!$B$138&amp;'1. HVAC Design Review'!$B$142&amp;"Zone 2"&amp;"_Field"</f>
        <v>Design AirflowsDoes the sum of design airflows across all rooms equal airflow of mode with higher airflow?Zone 2_Field</v>
      </c>
      <c r="D305" s="97" t="str">
        <f>'1. HVAC Design Review'!O142</f>
        <v>Yes</v>
      </c>
      <c r="E305" s="141"/>
      <c r="F305" s="141" t="str">
        <f>'1. HVAC Design Review'!$S$139</f>
        <v>4.3.15</v>
      </c>
      <c r="H305"/>
      <c r="I305"/>
      <c r="J305"/>
      <c r="K305"/>
      <c r="L305"/>
      <c r="M305"/>
      <c r="N305"/>
      <c r="O305"/>
      <c r="P305"/>
      <c r="Q305"/>
      <c r="R305"/>
      <c r="S305"/>
      <c r="T305"/>
      <c r="U305"/>
      <c r="V305"/>
      <c r="W305"/>
      <c r="X305"/>
      <c r="Y305"/>
      <c r="Z305"/>
      <c r="AA305"/>
    </row>
    <row r="306" spans="1:27" x14ac:dyDescent="0.25">
      <c r="B306" s="199" t="str">
        <f t="shared" ca="1" si="5"/>
        <v>1. HVAC Design Review</v>
      </c>
      <c r="C306" s="366" t="str">
        <f>'1. HVAC Design Review'!$B$138&amp;'1. HVAC Design Review'!$B$139&amp;"Zone 3"&amp;"_Field"</f>
        <v>Design AirflowsIn HVAC design, sum of design airflows across all roomsZone 3_Field</v>
      </c>
      <c r="D306" s="97">
        <f>'1. HVAC Design Review'!P139</f>
        <v>0</v>
      </c>
      <c r="E306" s="141" t="str">
        <f>'1. HVAC Design Review'!$R$139</f>
        <v>CFM</v>
      </c>
      <c r="F306" s="141" t="str">
        <f>'1. HVAC Design Review'!$S$139</f>
        <v>4.3.15</v>
      </c>
      <c r="H306"/>
      <c r="I306"/>
      <c r="J306"/>
      <c r="K306"/>
      <c r="L306"/>
      <c r="M306"/>
      <c r="N306"/>
      <c r="O306"/>
      <c r="P306"/>
      <c r="Q306"/>
      <c r="R306"/>
      <c r="S306"/>
      <c r="T306"/>
      <c r="U306"/>
      <c r="V306"/>
      <c r="W306"/>
      <c r="X306"/>
      <c r="Y306"/>
      <c r="Z306"/>
      <c r="AA306"/>
    </row>
    <row r="307" spans="1:27" x14ac:dyDescent="0.25">
      <c r="B307" s="199" t="str">
        <f t="shared" ca="1" si="5"/>
        <v>1. HVAC Design Review</v>
      </c>
      <c r="C307" s="366" t="str">
        <f>'1. HVAC Design Review'!$B$138&amp;'1. HVAC Design Review'!$B$140&amp;"Zone 3"&amp;"_Field"</f>
        <v>Design AirflowsIn HVAC design, design airflow of system in cooling mode (if applicable)Zone 3_Field</v>
      </c>
      <c r="D307" s="97">
        <f>'1. HVAC Design Review'!P140</f>
        <v>0</v>
      </c>
      <c r="E307" s="141" t="str">
        <f>'1. HVAC Design Review'!$R$139</f>
        <v>CFM</v>
      </c>
      <c r="F307" s="141" t="str">
        <f>'1. HVAC Design Review'!$S$139</f>
        <v>4.3.15</v>
      </c>
      <c r="H307"/>
      <c r="I307"/>
      <c r="J307"/>
      <c r="K307"/>
      <c r="L307"/>
      <c r="M307"/>
      <c r="N307"/>
      <c r="O307"/>
      <c r="P307"/>
      <c r="Q307"/>
      <c r="R307"/>
      <c r="S307"/>
      <c r="T307"/>
      <c r="U307"/>
      <c r="V307"/>
      <c r="W307"/>
      <c r="X307"/>
      <c r="Y307"/>
      <c r="Z307"/>
      <c r="AA307"/>
    </row>
    <row r="308" spans="1:27" x14ac:dyDescent="0.25">
      <c r="B308" s="199" t="str">
        <f t="shared" ca="1" si="5"/>
        <v>1. HVAC Design Review</v>
      </c>
      <c r="C308" s="366" t="str">
        <f>'1. HVAC Design Review'!$B$138&amp;'1. HVAC Design Review'!$B$141&amp;"Zone 3"&amp;"_Field"</f>
        <v>Design AirflowsIn HVAC design, design airflow of system in heating mode (if applicable)Zone 3_Field</v>
      </c>
      <c r="D308" s="97">
        <f>'1. HVAC Design Review'!P141</f>
        <v>0</v>
      </c>
      <c r="E308" s="141" t="str">
        <f>'1. HVAC Design Review'!$R$139</f>
        <v>CFM</v>
      </c>
      <c r="F308" s="141" t="str">
        <f>'1. HVAC Design Review'!$S$139</f>
        <v>4.3.15</v>
      </c>
      <c r="H308"/>
      <c r="I308"/>
      <c r="J308"/>
      <c r="K308"/>
      <c r="L308"/>
      <c r="M308"/>
      <c r="N308"/>
      <c r="O308"/>
      <c r="P308"/>
      <c r="Q308"/>
      <c r="R308"/>
      <c r="S308"/>
      <c r="T308"/>
      <c r="U308"/>
      <c r="V308"/>
      <c r="W308"/>
      <c r="X308"/>
      <c r="Y308"/>
      <c r="Z308"/>
      <c r="AA308"/>
    </row>
    <row r="309" spans="1:27" x14ac:dyDescent="0.25">
      <c r="B309" s="199" t="str">
        <f t="shared" ca="1" si="5"/>
        <v>1. HVAC Design Review</v>
      </c>
      <c r="C309" s="366" t="str">
        <f>'1. HVAC Design Review'!$B$138&amp;'1. HVAC Design Review'!$B$142&amp;"Zone 3"&amp;"_Field"</f>
        <v>Design AirflowsDoes the sum of design airflows across all rooms equal airflow of mode with higher airflow?Zone 3_Field</v>
      </c>
      <c r="D309" s="97" t="str">
        <f>'1. HVAC Design Review'!P142</f>
        <v>Yes</v>
      </c>
      <c r="E309" s="141"/>
      <c r="F309" s="141" t="str">
        <f>'1. HVAC Design Review'!$S$139</f>
        <v>4.3.15</v>
      </c>
    </row>
    <row r="310" spans="1:27" x14ac:dyDescent="0.25">
      <c r="B310" s="199" t="str">
        <f t="shared" ca="1" si="5"/>
        <v>1. HVAC Design Review</v>
      </c>
      <c r="C310" s="361" t="str">
        <f>'1. HVAC Design Review'!$B$146&amp;'1. HVAC Design Review'!$C$147&amp;"_Plan"</f>
        <v>Have all required design review criteria been verified for:A dwelling or townhouse or unit within (e.g., duplex)_Plan</v>
      </c>
      <c r="D310" s="141" t="str">
        <f>'1. HVAC Design Review'!K147</f>
        <v>Yes</v>
      </c>
      <c r="E310" s="141"/>
      <c r="F310" s="141"/>
    </row>
    <row r="311" spans="1:27" x14ac:dyDescent="0.25">
      <c r="B311" s="199" t="str">
        <f t="shared" ca="1" si="5"/>
        <v>1. HVAC Design Review</v>
      </c>
      <c r="C311" s="361" t="str">
        <f>'1. HVAC Design Review'!$B$146&amp;'1. HVAC Design Review'!$C$148&amp;"_Plan"</f>
        <v>Have all required design review criteria been verified for:A unit in a multifamily building w/ heat gain ≤18 kBTUh &amp; heat loss ≤35 kBTUh_Plan</v>
      </c>
      <c r="D311" s="141" t="str">
        <f>'1. HVAC Design Review'!K148</f>
        <v>N/A</v>
      </c>
      <c r="E311" s="141"/>
      <c r="F311" s="141"/>
    </row>
    <row r="312" spans="1:27" x14ac:dyDescent="0.25">
      <c r="B312" s="199" t="str">
        <f t="shared" ca="1" si="5"/>
        <v>1. HVAC Design Review</v>
      </c>
      <c r="C312" s="361" t="str">
        <f>'1. HVAC Design Review'!$B$146&amp;'1. HVAC Design Review'!$C$149&amp;"_Plan"</f>
        <v>Have all required design review criteria been verified for:A unit in a multifamily building w/ heat gain &gt;18 kBTUh or heat loss &gt;35k BTUh_Plan</v>
      </c>
      <c r="D312" s="141" t="str">
        <f>'1. HVAC Design Review'!K149</f>
        <v>N/A</v>
      </c>
      <c r="E312" s="141"/>
      <c r="F312" s="141"/>
    </row>
    <row r="313" spans="1:27" x14ac:dyDescent="0.25">
      <c r="B313" s="199" t="str">
        <f t="shared" ca="1" si="5"/>
        <v>1. HVAC Design Review</v>
      </c>
      <c r="C313" s="361" t="str">
        <f>'1. HVAC Design Review'!$B$146&amp;'1. HVAC Design Review'!$C$150&amp;"_Plan"</f>
        <v>Have all required design review criteria been verified for:All Dwellings, Townhouses, Dwelling Units, and Sleeping Units_Plan</v>
      </c>
      <c r="D313" s="141" t="str">
        <f>'1. HVAC Design Review'!K150</f>
        <v>Yes</v>
      </c>
      <c r="E313" s="141"/>
      <c r="F313" s="141"/>
    </row>
    <row r="314" spans="1:27" x14ac:dyDescent="0.25">
      <c r="B314" s="199" t="str">
        <f t="shared" ca="1" si="5"/>
        <v>1. HVAC Design Review</v>
      </c>
      <c r="C314" s="361" t="str">
        <f>'1. HVAC Design Review'!$B$146&amp;'1. HVAC Design Review'!$C$151&amp;"_Plan"</f>
        <v>Have all required design review criteria been verified for:_Plan</v>
      </c>
      <c r="D314" s="141" t="str">
        <f>'1. HVAC Design Review'!K151</f>
        <v>Yes</v>
      </c>
      <c r="E314" s="141"/>
      <c r="F314" s="141"/>
    </row>
    <row r="315" spans="1:27" x14ac:dyDescent="0.25">
      <c r="B315" s="199" t="str">
        <f t="shared" ca="1" si="5"/>
        <v>1. HVAC Design Review</v>
      </c>
      <c r="C315" s="361" t="str">
        <f>'1. HVAC Design Review'!$B$146&amp;'1. HVAC Design Review'!$C$147&amp;"_Field"</f>
        <v>Have all required design review criteria been verified for:A dwelling or townhouse or unit within (e.g., duplex)_Field</v>
      </c>
      <c r="D315" s="141" t="str">
        <f>'1. HVAC Design Review'!P147</f>
        <v>No</v>
      </c>
      <c r="E315" s="141"/>
      <c r="F315" s="141"/>
    </row>
    <row r="316" spans="1:27" x14ac:dyDescent="0.25">
      <c r="B316" s="199" t="str">
        <f t="shared" ca="1" si="5"/>
        <v>1. HVAC Design Review</v>
      </c>
      <c r="C316" s="361" t="str">
        <f>'1. HVAC Design Review'!$B$146&amp;'1. HVAC Design Review'!$C$148&amp;"_Field"</f>
        <v>Have all required design review criteria been verified for:A unit in a multifamily building w/ heat gain ≤18 kBTUh &amp; heat loss ≤35 kBTUh_Field</v>
      </c>
      <c r="D316" s="141" t="str">
        <f>'1. HVAC Design Review'!P148</f>
        <v>N/A</v>
      </c>
      <c r="E316" s="141"/>
      <c r="F316" s="141"/>
    </row>
    <row r="317" spans="1:27" x14ac:dyDescent="0.25">
      <c r="B317" s="199" t="str">
        <f t="shared" ca="1" si="5"/>
        <v>1. HVAC Design Review</v>
      </c>
      <c r="C317" s="361" t="str">
        <f>'1. HVAC Design Review'!$B$146&amp;'1. HVAC Design Review'!$C$149&amp;"_Field"</f>
        <v>Have all required design review criteria been verified for:A unit in a multifamily building w/ heat gain &gt;18 kBTUh or heat loss &gt;35k BTUh_Field</v>
      </c>
      <c r="D317" s="141" t="str">
        <f>'1. HVAC Design Review'!P149</f>
        <v>N/A</v>
      </c>
      <c r="E317" s="141"/>
      <c r="F317" s="141"/>
    </row>
    <row r="318" spans="1:27" x14ac:dyDescent="0.25">
      <c r="B318" s="199" t="str">
        <f t="shared" ca="1" si="5"/>
        <v>1. HVAC Design Review</v>
      </c>
      <c r="C318" s="361" t="str">
        <f>'1. HVAC Design Review'!$B$146&amp;'1. HVAC Design Review'!$C$150&amp;"_Field"</f>
        <v>Have all required design review criteria been verified for:All Dwellings, Townhouses, Dwelling Units, and Sleeping Units_Field</v>
      </c>
      <c r="D318" s="141" t="str">
        <f>'1. HVAC Design Review'!P150</f>
        <v>No</v>
      </c>
      <c r="E318" s="141"/>
      <c r="F318" s="141"/>
    </row>
    <row r="319" spans="1:27" x14ac:dyDescent="0.25">
      <c r="B319" s="199" t="str">
        <f t="shared" ca="1" si="5"/>
        <v>1. HVAC Design Review</v>
      </c>
      <c r="C319" s="361" t="str">
        <f>'1. HVAC Design Review'!$B$146&amp;'1. HVAC Design Review'!$C$151&amp;"_Field"</f>
        <v>Have all required design review criteria been verified for:_Field</v>
      </c>
      <c r="D319" s="141" t="str">
        <f>'1. HVAC Design Review'!P151</f>
        <v>No</v>
      </c>
      <c r="E319" s="141"/>
      <c r="F319" s="141"/>
    </row>
    <row r="320" spans="1:27" x14ac:dyDescent="0.25">
      <c r="A320" s="143"/>
      <c r="B320" s="199" t="str">
        <f t="shared" ref="B320:B324" ca="1" si="6">MID(CELL("filename",INDIRECT(RIGHT(_xlfn.FORMULATEXT(D320),LEN(_xlfn.FORMULATEXT(D320))-1),TRUE)),FIND("]",CELL("filename",INDIRECT(RIGHT(_xlfn.FORMULATEXT(D320),LEN(_xlfn.FORMULATEXT(D320))-1),TRUE)))+1,255)</f>
        <v>2. Total Duct Leakage</v>
      </c>
      <c r="C320" s="199" t="str">
        <f>'2. Total Duct Leakage'!B4</f>
        <v>All required design documentation collected, reviewed, and verified to be in accordance with Section 4.3, or an IVR obtained.</v>
      </c>
      <c r="D320" s="141" t="str">
        <f>'2. Total Duct Leakage'!H4</f>
        <v>No</v>
      </c>
      <c r="E320" s="141" t="s">
        <v>310</v>
      </c>
      <c r="F320" s="141">
        <f>'2. Total Duct Leakage'!J4</f>
        <v>5.2</v>
      </c>
      <c r="G320" s="192"/>
    </row>
    <row r="321" spans="1:26" x14ac:dyDescent="0.25">
      <c r="A321" s="143"/>
      <c r="B321" s="199" t="str">
        <f t="shared" ca="1" si="6"/>
        <v>2. Total Duct Leakage</v>
      </c>
      <c r="C321" s="199" t="str">
        <f>'2. Total Duct Leakage'!B8</f>
        <v>Does the system have a total amount of supply ductwork or distribution building cavities that is &gt; 10 total linear feet?</v>
      </c>
      <c r="D321" s="141" t="str">
        <f>'2. Total Duct Leakage'!H8</f>
        <v>Yes</v>
      </c>
      <c r="E321" s="141" t="s">
        <v>310</v>
      </c>
      <c r="F321" s="141">
        <f>'2. Total Duct Leakage'!J8</f>
        <v>5.3</v>
      </c>
      <c r="G321" s="192"/>
    </row>
    <row r="322" spans="1:26" x14ac:dyDescent="0.25">
      <c r="A322" s="143"/>
      <c r="B322" s="143" t="str">
        <f t="shared" ca="1" si="6"/>
        <v>2. Total Duct Leakage</v>
      </c>
      <c r="C322" s="199" t="str">
        <f>'2. Total Duct Leakage'!B10</f>
        <v>Is the system entirely in Conditioned Space Volume?</v>
      </c>
      <c r="D322" s="141" t="str">
        <f>'2. Total Duct Leakage'!H10</f>
        <v>No</v>
      </c>
      <c r="E322" s="192" t="s">
        <v>310</v>
      </c>
      <c r="F322" s="192">
        <f>'2. Total Duct Leakage'!J10</f>
        <v>5.3</v>
      </c>
      <c r="G322" s="192"/>
    </row>
    <row r="323" spans="1:26" x14ac:dyDescent="0.25">
      <c r="A323" s="143"/>
      <c r="B323" s="143" t="str">
        <f t="shared" ca="1" si="6"/>
        <v>2. Total Duct Leakage</v>
      </c>
      <c r="C323" s="199" t="str">
        <f>'2. Total Duct Leakage'!B11</f>
        <v>Is testing required?</v>
      </c>
      <c r="D323" s="141" t="str">
        <f>'2. Total Duct Leakage'!H11</f>
        <v>Yes</v>
      </c>
      <c r="E323" s="192" t="s">
        <v>310</v>
      </c>
      <c r="F323" s="192">
        <f>'2. Total Duct Leakage'!J11</f>
        <v>5.3</v>
      </c>
      <c r="G323" s="192"/>
    </row>
    <row r="324" spans="1:26" x14ac:dyDescent="0.25">
      <c r="A324" s="143"/>
      <c r="B324" s="143" t="str">
        <f t="shared" ca="1" si="6"/>
        <v>2. Total Duct Leakage</v>
      </c>
      <c r="C324" s="199" t="str">
        <f>'2. Total Duct Leakage'!B12</f>
        <v>Was total duct leakage test exemption taken?</v>
      </c>
      <c r="D324" s="141" t="str">
        <f>'2. Total Duct Leakage'!H12</f>
        <v>No</v>
      </c>
      <c r="E324" s="192" t="s">
        <v>310</v>
      </c>
      <c r="F324" s="192">
        <f>'2. Total Duct Leakage'!J12</f>
        <v>5.3</v>
      </c>
      <c r="G324" s="192"/>
    </row>
    <row r="325" spans="1:26" x14ac:dyDescent="0.25">
      <c r="A325" s="143"/>
      <c r="B325" s="143" t="str">
        <f t="shared" ref="B325:B331" ca="1" si="7">MID(CELL("filename",INDIRECT(RIGHT(_xlfn.FORMULATEXT(D325),LEN(_xlfn.FORMULATEXT(D325))-1),TRUE)),FIND("]",CELL("filename",INDIRECT(RIGHT(_xlfn.FORMULATEXT(D325),LEN(_xlfn.FORMULATEXT(D325))-1),TRUE)))+1,255)</f>
        <v>2. Total Duct Leakage</v>
      </c>
      <c r="C325" s="199" t="str">
        <f>'2. Total Duct Leakage'!B13</f>
        <v>Did testing occur at rough-in or final?</v>
      </c>
      <c r="D325" s="141" t="str">
        <f>'2. Total Duct Leakage'!H13</f>
        <v>Rough-in</v>
      </c>
      <c r="E325" s="192" t="s">
        <v>310</v>
      </c>
      <c r="F325" s="192">
        <f>'2. Total Duct Leakage'!J13</f>
        <v>5.3</v>
      </c>
      <c r="G325" s="192"/>
    </row>
    <row r="326" spans="1:26" x14ac:dyDescent="0.25">
      <c r="A326" s="143"/>
      <c r="B326" s="143" t="str">
        <f t="shared" ca="1" si="7"/>
        <v>2. Total Duct Leakage</v>
      </c>
      <c r="C326" s="200" t="str">
        <f>'2. Total Duct Leakage'!B14</f>
        <v>Enter the number of returns in the system</v>
      </c>
      <c r="D326" s="142">
        <f>'2. Total Duct Leakage'!H14</f>
        <v>0</v>
      </c>
      <c r="E326" s="192" t="s">
        <v>310</v>
      </c>
      <c r="F326" s="192">
        <f>'2. Total Duct Leakage'!J14</f>
        <v>5.3</v>
      </c>
      <c r="G326" s="192"/>
    </row>
    <row r="327" spans="1:26" x14ac:dyDescent="0.25">
      <c r="A327" s="143"/>
      <c r="B327" s="143" t="str">
        <f t="shared" ca="1" si="7"/>
        <v>2. Total Duct Leakage</v>
      </c>
      <c r="C327" s="200" t="str">
        <f>'2. Total Duct Leakage'!B15</f>
        <v>Enter the Conditioned Floor Area served by the system</v>
      </c>
      <c r="D327" s="142">
        <f>'2. Total Duct Leakage'!H15</f>
        <v>0</v>
      </c>
      <c r="E327" s="142" t="str">
        <f>'2. Total Duct Leakage'!I15</f>
        <v xml:space="preserve">Sq. Ft. </v>
      </c>
      <c r="F327" s="192" t="s">
        <v>310</v>
      </c>
      <c r="G327" s="192"/>
    </row>
    <row r="328" spans="1:26" x14ac:dyDescent="0.25">
      <c r="A328" s="143"/>
      <c r="B328" s="143" t="str">
        <f t="shared" ca="1" si="7"/>
        <v>2. Total Duct Leakage</v>
      </c>
      <c r="C328" s="200" t="str">
        <f>'2. Total Duct Leakage'!B16</f>
        <v>Enter the total duct leakage of the system</v>
      </c>
      <c r="D328" s="142">
        <f>'2. Total Duct Leakage'!H16</f>
        <v>0</v>
      </c>
      <c r="E328" s="142" t="str">
        <f>'2. Total Duct Leakage'!I16</f>
        <v>CFM25</v>
      </c>
      <c r="F328" s="192">
        <f>'2. Total Duct Leakage'!J16</f>
        <v>5.3</v>
      </c>
      <c r="G328" s="192"/>
    </row>
    <row r="329" spans="1:26" x14ac:dyDescent="0.25">
      <c r="A329" s="143"/>
      <c r="B329" s="143" t="str">
        <f t="shared" ca="1" si="7"/>
        <v>2. Total Duct Leakage</v>
      </c>
      <c r="C329" s="200" t="str">
        <f>'2. Total Duct Leakage'!B17</f>
        <v>Total duct leakage per 100 sq. ft. of CFA served by system</v>
      </c>
      <c r="D329" s="142" t="e">
        <f>'2. Total Duct Leakage'!H17</f>
        <v>#DIV/0!</v>
      </c>
      <c r="E329" s="142" t="str">
        <f>'2. Total Duct Leakage'!I17</f>
        <v>CFM25/100 Sq. Ft.</v>
      </c>
      <c r="F329" s="192" t="s">
        <v>310</v>
      </c>
      <c r="G329" s="192"/>
    </row>
    <row r="330" spans="1:26" x14ac:dyDescent="0.25">
      <c r="A330" s="143"/>
      <c r="B330" s="143" t="str">
        <f t="shared" ca="1" si="7"/>
        <v>2. Total Duct Leakage</v>
      </c>
      <c r="C330" s="200" t="str">
        <f>'2. Total Duct Leakage'!B19</f>
        <v>Total Duct Leakage Grade Designation:</v>
      </c>
      <c r="D330" s="142" t="str">
        <f>'2. Total Duct Leakage'!H19</f>
        <v>Grade III</v>
      </c>
      <c r="E330" s="192" t="s">
        <v>310</v>
      </c>
      <c r="F330" s="192" t="s">
        <v>310</v>
      </c>
      <c r="G330" s="192"/>
    </row>
    <row r="331" spans="1:26" x14ac:dyDescent="0.25">
      <c r="A331" s="143"/>
      <c r="B331" s="143" t="str">
        <f t="shared" ca="1" si="7"/>
        <v>3. Blower Fan Airflow</v>
      </c>
      <c r="C331" s="199" t="str">
        <f>'3. Blower Fan Airflow'!B4</f>
        <v>Did total duct leakage achieve Grade I or II designation?</v>
      </c>
      <c r="D331" s="141" t="str">
        <f>'3. Blower Fan Airflow'!H4</f>
        <v>No</v>
      </c>
      <c r="E331" s="192" t="s">
        <v>310</v>
      </c>
      <c r="F331" s="192" t="str">
        <f>'3. Blower Fan Airflow'!J4</f>
        <v>6.2.1</v>
      </c>
      <c r="G331" s="192"/>
    </row>
    <row r="332" spans="1:26" x14ac:dyDescent="0.25">
      <c r="A332" s="143"/>
      <c r="B332" s="143" t="str">
        <f t="shared" ref="B332:B341" ca="1" si="8">MID(CELL("filename",INDIRECT(RIGHT(_xlfn.FORMULATEXT(D332),LEN(_xlfn.FORMULATEXT(D332))-1),TRUE)),FIND("]",CELL("filename",INDIRECT(RIGHT(_xlfn.FORMULATEXT(D332),LEN(_xlfn.FORMULATEXT(D332))-1),TRUE)))+1,255)</f>
        <v>3. Blower Fan Airflow</v>
      </c>
      <c r="C332" s="201" t="str">
        <f>'3. Blower Fan Airflow'!B5</f>
        <v>HVAC equipment is operational &amp; matches specification?</v>
      </c>
      <c r="D332" s="96" t="str">
        <f>'3. Blower Fan Airflow'!H5</f>
        <v>Yes</v>
      </c>
      <c r="E332" s="192" t="s">
        <v>310</v>
      </c>
      <c r="F332" s="192" t="str">
        <f>'3. Blower Fan Airflow'!J5</f>
        <v>6.2.2.1</v>
      </c>
      <c r="G332" s="192"/>
    </row>
    <row r="333" spans="1:26" x14ac:dyDescent="0.25">
      <c r="A333" s="143"/>
      <c r="B333" s="143" t="str">
        <f t="shared" ca="1" si="8"/>
        <v>3. Blower Fan Airflow</v>
      </c>
      <c r="C333" s="201" t="str">
        <f>'3. Blower Fan Airflow'!B6</f>
        <v>If specified, mech. vent. system is operational &amp; matches specification?</v>
      </c>
      <c r="D333" s="96" t="str">
        <f>'3. Blower Fan Airflow'!H6</f>
        <v>Yes</v>
      </c>
      <c r="E333" s="192" t="s">
        <v>310</v>
      </c>
      <c r="F333" s="192" t="str">
        <f>'3. Blower Fan Airflow'!J6</f>
        <v>6.2.2.2</v>
      </c>
      <c r="G333" s="192"/>
    </row>
    <row r="334" spans="1:26" x14ac:dyDescent="0.25">
      <c r="A334" s="143"/>
      <c r="B334" s="143" t="str">
        <f t="shared" ca="1" si="8"/>
        <v>3. Blower Fan Airflow</v>
      </c>
      <c r="C334" s="201" t="str">
        <f>'3. Blower Fan Airflow'!B7</f>
        <v>If specified, distribution system installed, including registers &amp; grilles?</v>
      </c>
      <c r="D334" s="96" t="str">
        <f>'3. Blower Fan Airflow'!H7</f>
        <v>Yes</v>
      </c>
      <c r="E334" s="192" t="s">
        <v>310</v>
      </c>
      <c r="F334" s="192" t="str">
        <f>'3. Blower Fan Airflow'!J7</f>
        <v>6.2.2.3</v>
      </c>
      <c r="G334" s="192"/>
    </row>
    <row r="335" spans="1:26" x14ac:dyDescent="0.25">
      <c r="A335" s="143"/>
      <c r="B335" s="143" t="str">
        <f t="shared" ca="1" si="8"/>
        <v>3. Blower Fan Airflow</v>
      </c>
      <c r="C335" s="201" t="str">
        <f>'3. Blower Fan Airflow'!B8</f>
        <v>If specified, filter installed &amp; matches specified performance rating?</v>
      </c>
      <c r="D335" s="96" t="str">
        <f>'3. Blower Fan Airflow'!H8</f>
        <v>Yes</v>
      </c>
      <c r="E335" s="192" t="s">
        <v>310</v>
      </c>
      <c r="F335" s="192" t="str">
        <f>'3. Blower Fan Airflow'!J8</f>
        <v>6.2.2.4</v>
      </c>
    </row>
    <row r="336" spans="1:26" s="143" customFormat="1" x14ac:dyDescent="0.25">
      <c r="B336" s="143" t="str">
        <f t="shared" ca="1" si="8"/>
        <v>3. Blower Fan Airflow</v>
      </c>
      <c r="C336" s="199" t="str">
        <f>'3. Blower Fan Airflow'!B9</f>
        <v>Have prerequisites been met?</v>
      </c>
      <c r="D336" s="141" t="str">
        <f>'3. Blower Fan Airflow'!H9</f>
        <v>No</v>
      </c>
      <c r="E336" s="192" t="s">
        <v>310</v>
      </c>
      <c r="F336" s="192" t="s">
        <v>310</v>
      </c>
      <c r="G336" s="193"/>
      <c r="H336" s="191"/>
      <c r="I336" s="191"/>
      <c r="J336" s="191"/>
      <c r="K336" s="191"/>
      <c r="L336" s="191"/>
      <c r="M336" s="191"/>
      <c r="N336" s="191"/>
      <c r="O336" s="191"/>
      <c r="P336" s="191"/>
      <c r="Q336" s="191"/>
      <c r="R336" s="191"/>
      <c r="S336" s="191"/>
      <c r="T336" s="191"/>
      <c r="U336" s="191"/>
      <c r="V336" s="191"/>
      <c r="W336" s="191"/>
      <c r="X336" s="191"/>
      <c r="Y336" s="191"/>
      <c r="Z336" s="191"/>
    </row>
    <row r="337" spans="1:26" s="143" customFormat="1" x14ac:dyDescent="0.25">
      <c r="B337" s="143" t="str">
        <f t="shared" ca="1" si="8"/>
        <v>3. Blower Fan Airflow</v>
      </c>
      <c r="C337" s="202" t="str">
        <f>'3. Blower Fan Airflow'!B12</f>
        <v>Enter design-specified blower fan airflow (Qdesign)</v>
      </c>
      <c r="D337" s="97">
        <f>'3. Blower Fan Airflow'!H12</f>
        <v>0</v>
      </c>
      <c r="E337" s="97" t="str">
        <f>'3. Blower Fan Airflow'!I12</f>
        <v>CFM</v>
      </c>
      <c r="F337" s="192" t="str">
        <f>'3. Blower Fan Airflow'!J12</f>
        <v>4.2.5.5.1</v>
      </c>
      <c r="G337" s="193"/>
      <c r="H337" s="191"/>
      <c r="I337" s="191"/>
      <c r="J337" s="191"/>
      <c r="K337" s="191"/>
      <c r="L337" s="191"/>
      <c r="M337" s="191"/>
      <c r="N337" s="191"/>
      <c r="O337" s="191"/>
      <c r="P337" s="191"/>
      <c r="Q337" s="191"/>
      <c r="R337" s="191"/>
      <c r="S337" s="191"/>
      <c r="T337" s="191"/>
      <c r="U337" s="191"/>
      <c r="V337" s="191"/>
      <c r="W337" s="191"/>
      <c r="X337" s="191"/>
      <c r="Y337" s="191"/>
      <c r="Z337" s="191"/>
    </row>
    <row r="338" spans="1:26" s="143" customFormat="1" x14ac:dyDescent="0.25">
      <c r="A338" s="191"/>
      <c r="B338" s="143" t="str">
        <f t="shared" ca="1" si="8"/>
        <v>3. Blower Fan Airflow</v>
      </c>
      <c r="C338" s="199" t="str">
        <f>'3. Blower Fan Airflow'!B15</f>
        <v>Does the system have a total amount of supply ductwork or distribution building cavities that is &gt; 10 total linear feet?</v>
      </c>
      <c r="D338" s="141" t="str">
        <f>'3. Blower Fan Airflow'!H15</f>
        <v>Yes</v>
      </c>
      <c r="E338" s="192" t="s">
        <v>310</v>
      </c>
      <c r="F338" s="192" t="str">
        <f>'3. Blower Fan Airflow'!J15</f>
        <v>6.3.1.1</v>
      </c>
      <c r="G338" s="193"/>
      <c r="H338" s="191"/>
      <c r="I338" s="191"/>
      <c r="J338" s="191"/>
      <c r="K338" s="191"/>
      <c r="L338" s="191"/>
      <c r="M338" s="191"/>
      <c r="N338" s="191"/>
      <c r="O338" s="191"/>
      <c r="P338" s="191"/>
      <c r="Q338" s="191"/>
      <c r="R338" s="191"/>
      <c r="S338" s="191"/>
      <c r="T338" s="191"/>
      <c r="U338" s="191"/>
      <c r="V338" s="191"/>
      <c r="W338" s="191"/>
      <c r="X338" s="191"/>
      <c r="Y338" s="191"/>
      <c r="Z338" s="191"/>
    </row>
    <row r="339" spans="1:26" s="143" customFormat="1" x14ac:dyDescent="0.25">
      <c r="A339" s="191"/>
      <c r="B339" s="143" t="str">
        <f t="shared" ca="1" si="8"/>
        <v>3. Blower Fan Airflow</v>
      </c>
      <c r="C339" s="199" t="str">
        <f>'3. Blower Fan Airflow'!B17</f>
        <v>Is the system entirely in Conditioned Space Volume?</v>
      </c>
      <c r="D339" s="141" t="str">
        <f>'3. Blower Fan Airflow'!H17</f>
        <v>No</v>
      </c>
      <c r="E339" s="192" t="s">
        <v>310</v>
      </c>
      <c r="F339" s="192" t="str">
        <f>'3. Blower Fan Airflow'!J17</f>
        <v>6.3.1.1</v>
      </c>
      <c r="G339" s="193"/>
      <c r="H339" s="191"/>
      <c r="I339" s="191"/>
      <c r="J339" s="191"/>
      <c r="K339" s="191"/>
      <c r="L339" s="191"/>
      <c r="M339" s="191"/>
      <c r="N339" s="191"/>
      <c r="O339" s="191"/>
      <c r="P339" s="191"/>
      <c r="Q339" s="191"/>
      <c r="R339" s="191"/>
      <c r="S339" s="191"/>
      <c r="T339" s="191"/>
      <c r="U339" s="191"/>
      <c r="V339" s="191"/>
      <c r="W339" s="191"/>
      <c r="X339" s="191"/>
      <c r="Y339" s="191"/>
      <c r="Z339" s="191"/>
    </row>
    <row r="340" spans="1:26" s="143" customFormat="1" x14ac:dyDescent="0.25">
      <c r="A340" s="191"/>
      <c r="B340" s="143" t="str">
        <f t="shared" ca="1" si="8"/>
        <v>3. Blower Fan Airflow</v>
      </c>
      <c r="C340" s="199" t="str">
        <f>'3. Blower Fan Airflow'!B18</f>
        <v>Is testing required?</v>
      </c>
      <c r="D340" s="141" t="str">
        <f>'3. Blower Fan Airflow'!H18</f>
        <v>Yes</v>
      </c>
      <c r="E340" s="192" t="s">
        <v>310</v>
      </c>
      <c r="F340" s="192" t="str">
        <f>'3. Blower Fan Airflow'!J18</f>
        <v>6.3.1.1</v>
      </c>
      <c r="G340" s="193"/>
      <c r="H340" s="191"/>
      <c r="I340" s="191"/>
      <c r="J340" s="191"/>
      <c r="K340" s="191"/>
      <c r="L340" s="191"/>
      <c r="M340" s="191"/>
      <c r="N340" s="191"/>
      <c r="O340" s="191"/>
      <c r="P340" s="191"/>
      <c r="Q340" s="191"/>
      <c r="R340" s="191"/>
      <c r="S340" s="191"/>
      <c r="T340" s="191"/>
      <c r="U340" s="191"/>
      <c r="V340" s="191"/>
      <c r="W340" s="191"/>
      <c r="X340" s="191"/>
      <c r="Y340" s="191"/>
      <c r="Z340" s="191"/>
    </row>
    <row r="341" spans="1:26" s="143" customFormat="1" x14ac:dyDescent="0.25">
      <c r="A341" s="191"/>
      <c r="B341" s="143" t="str">
        <f t="shared" ca="1" si="8"/>
        <v>3. Blower Fan Airflow</v>
      </c>
      <c r="C341" s="199" t="str">
        <f>'3. Blower Fan Airflow'!B19</f>
        <v>Was blower fan airflow test exemption taken?</v>
      </c>
      <c r="D341" s="141" t="str">
        <f>'3. Blower Fan Airflow'!H18</f>
        <v>Yes</v>
      </c>
      <c r="E341" s="192" t="s">
        <v>310</v>
      </c>
      <c r="F341" s="192" t="str">
        <f>'3. Blower Fan Airflow'!J19</f>
        <v>6.3.1.1</v>
      </c>
      <c r="G341" s="193"/>
      <c r="H341" s="191"/>
      <c r="I341" s="191"/>
      <c r="J341" s="191"/>
      <c r="K341" s="191"/>
      <c r="L341" s="191"/>
      <c r="M341" s="191"/>
      <c r="N341" s="191"/>
      <c r="O341" s="191"/>
      <c r="P341" s="191"/>
      <c r="Q341" s="191"/>
      <c r="R341" s="191"/>
      <c r="S341" s="191"/>
      <c r="T341" s="191"/>
      <c r="U341" s="191"/>
      <c r="V341" s="191"/>
      <c r="W341" s="191"/>
      <c r="X341" s="191"/>
      <c r="Y341" s="191"/>
      <c r="Z341" s="191"/>
    </row>
    <row r="342" spans="1:26" s="143" customFormat="1" x14ac:dyDescent="0.25">
      <c r="A342" s="191"/>
      <c r="B342" s="143" t="str">
        <f t="shared" ref="B342:B373" ca="1" si="9">MID(CELL("filename",INDIRECT(RIGHT(_xlfn.FORMULATEXT(D342),LEN(_xlfn.FORMULATEXT(D342))-1),TRUE)),FIND("]",CELL("filename",INDIRECT(RIGHT(_xlfn.FORMULATEXT(D342),LEN(_xlfn.FORMULATEXT(D342))-1),TRUE)))+1,255)</f>
        <v>3. Blower Fan Airflow</v>
      </c>
      <c r="C342" s="200" t="str">
        <f>'3. Blower Fan Airflow'!B20</f>
        <v>What Grade designation did total duct leakage achieve (I or II)?</v>
      </c>
      <c r="D342" s="142" t="str">
        <f>'3. Blower Fan Airflow'!H20</f>
        <v>Grade III</v>
      </c>
      <c r="E342" s="192" t="s">
        <v>310</v>
      </c>
      <c r="F342" s="192" t="s">
        <v>310</v>
      </c>
      <c r="G342" s="193"/>
      <c r="H342" s="191"/>
      <c r="I342" s="191"/>
      <c r="J342" s="191"/>
      <c r="K342" s="191"/>
      <c r="L342" s="191"/>
      <c r="M342" s="191"/>
      <c r="N342" s="191"/>
      <c r="O342" s="191"/>
      <c r="P342" s="191"/>
      <c r="Q342" s="191"/>
      <c r="R342" s="191"/>
      <c r="S342" s="191"/>
      <c r="T342" s="191"/>
      <c r="U342" s="191"/>
      <c r="V342" s="191"/>
      <c r="W342" s="191"/>
      <c r="X342" s="191"/>
      <c r="Y342" s="191"/>
      <c r="Z342" s="191"/>
    </row>
    <row r="343" spans="1:26" s="143" customFormat="1" x14ac:dyDescent="0.25">
      <c r="A343" s="191"/>
      <c r="B343" s="143" t="str">
        <f t="shared" ca="1" si="9"/>
        <v>3. Blower Fan Airflow</v>
      </c>
      <c r="C343" s="201" t="str">
        <f>'3. Blower Fan Airflow'!B21</f>
        <v>If testing is required and pre-reqs met, select one airflow test method.</v>
      </c>
      <c r="D343" s="96" t="str">
        <f>'3. Blower Fan Airflow'!H21</f>
        <v>Flow Hood</v>
      </c>
      <c r="E343" s="192" t="s">
        <v>310</v>
      </c>
      <c r="F343" s="192" t="str">
        <f>'3. Blower Fan Airflow'!J21</f>
        <v>6.3.1.3</v>
      </c>
      <c r="G343" s="193"/>
      <c r="H343" s="191"/>
      <c r="I343" s="191"/>
      <c r="J343" s="191"/>
      <c r="K343" s="191"/>
      <c r="L343" s="191"/>
      <c r="M343" s="191"/>
      <c r="N343" s="191"/>
      <c r="O343" s="191"/>
      <c r="P343" s="191"/>
      <c r="Q343" s="191"/>
      <c r="R343" s="191"/>
      <c r="S343" s="191"/>
      <c r="T343" s="191"/>
      <c r="U343" s="191"/>
      <c r="V343" s="191"/>
      <c r="W343" s="191"/>
      <c r="X343" s="191"/>
      <c r="Y343" s="191"/>
      <c r="Z343" s="191"/>
    </row>
    <row r="344" spans="1:26" s="143" customFormat="1" x14ac:dyDescent="0.25">
      <c r="A344" s="191"/>
      <c r="B344" s="143" t="str">
        <f t="shared" ca="1" si="9"/>
        <v>3. Blower Fan Airflow</v>
      </c>
      <c r="C344" s="201" t="str">
        <f>'3. Blower Fan Airflow'!B24</f>
        <v>Dwelling and forced-air HVAC system set up per Section 6.4?</v>
      </c>
      <c r="D344" s="96" t="str">
        <f>'3. Blower Fan Airflow'!H24</f>
        <v>Yes</v>
      </c>
      <c r="E344" s="192" t="s">
        <v>310</v>
      </c>
      <c r="F344" s="192">
        <f>'3. Blower Fan Airflow'!J24</f>
        <v>6.4</v>
      </c>
      <c r="G344" s="193"/>
      <c r="H344" s="191"/>
      <c r="I344" s="191"/>
      <c r="J344" s="191"/>
      <c r="K344" s="191"/>
      <c r="L344" s="191"/>
      <c r="M344" s="191"/>
      <c r="N344" s="191"/>
      <c r="O344" s="191"/>
      <c r="P344" s="191"/>
      <c r="Q344" s="191"/>
      <c r="R344" s="191"/>
      <c r="S344" s="191"/>
      <c r="T344" s="191"/>
      <c r="U344" s="191"/>
      <c r="V344" s="191"/>
      <c r="W344" s="191"/>
      <c r="X344" s="191"/>
      <c r="Y344" s="191"/>
      <c r="Z344" s="191"/>
    </row>
    <row r="345" spans="1:26" s="143" customFormat="1" x14ac:dyDescent="0.25">
      <c r="A345" s="191"/>
      <c r="B345" s="143" t="str">
        <f t="shared" ca="1" si="9"/>
        <v>3. Blower Fan Airflow</v>
      </c>
      <c r="C345" s="201" t="str">
        <f>'3. Blower Fan Airflow'!B25</f>
        <v>Enter mode that forced-air HVAC system was tested in</v>
      </c>
      <c r="D345" s="96" t="str">
        <f>'3. Blower Fan Airflow'!H25</f>
        <v>Cooling</v>
      </c>
      <c r="E345" s="192" t="s">
        <v>310</v>
      </c>
      <c r="F345" s="192" t="str">
        <f>'3. Blower Fan Airflow'!J25</f>
        <v>6.4.5</v>
      </c>
      <c r="G345" s="193"/>
      <c r="H345" s="191"/>
      <c r="I345" s="191"/>
      <c r="J345" s="191"/>
      <c r="K345" s="191"/>
      <c r="L345" s="191"/>
      <c r="M345" s="191"/>
      <c r="N345" s="191"/>
      <c r="O345" s="191"/>
      <c r="P345" s="191"/>
      <c r="Q345" s="191"/>
      <c r="R345" s="191"/>
      <c r="S345" s="191"/>
      <c r="T345" s="191"/>
      <c r="U345" s="191"/>
      <c r="V345" s="191"/>
      <c r="W345" s="191"/>
      <c r="X345" s="191"/>
      <c r="Y345" s="191"/>
      <c r="Z345" s="191"/>
    </row>
    <row r="346" spans="1:26" s="143" customFormat="1" x14ac:dyDescent="0.25">
      <c r="A346" s="191"/>
      <c r="B346" s="143" t="str">
        <f t="shared" ca="1" si="9"/>
        <v>3. Blower Fan Airflow</v>
      </c>
      <c r="C346" s="203" t="str">
        <f>"Pressure Matching - "&amp;'3. Blower Fan Airflow'!B29</f>
        <v>Pressure Matching - Enter Psop - pressure of the supply-side under normal operation</v>
      </c>
      <c r="D346" s="98">
        <f>'3. Blower Fan Airflow'!H29</f>
        <v>0</v>
      </c>
      <c r="E346" s="192" t="str">
        <f>'3. Blower Fan Airflow'!I29</f>
        <v>Pa</v>
      </c>
      <c r="F346" s="192" t="str">
        <f>'3. Blower Fan Airflow'!J29</f>
        <v>6.5.2.4</v>
      </c>
      <c r="G346" s="193"/>
      <c r="H346" s="191"/>
      <c r="I346" s="191"/>
      <c r="J346" s="191"/>
      <c r="K346" s="191"/>
      <c r="L346" s="191"/>
      <c r="M346" s="191"/>
      <c r="N346" s="191"/>
      <c r="O346" s="191"/>
      <c r="P346" s="191"/>
      <c r="Q346" s="191"/>
      <c r="R346" s="191"/>
      <c r="S346" s="191"/>
      <c r="T346" s="191"/>
      <c r="U346" s="191"/>
      <c r="V346" s="191"/>
      <c r="W346" s="191"/>
      <c r="X346" s="191"/>
      <c r="Y346" s="191"/>
      <c r="Z346" s="191"/>
    </row>
    <row r="347" spans="1:26" s="143" customFormat="1" x14ac:dyDescent="0.25">
      <c r="A347" s="191"/>
      <c r="B347" s="143" t="str">
        <f t="shared" ca="1" si="9"/>
        <v>3. Blower Fan Airflow</v>
      </c>
      <c r="C347" s="201" t="str">
        <f>"Pressure Matching - "&amp;'3. Blower Fan Airflow'!B30</f>
        <v>Pressure Matching - Was there turbulence (fluctuations &gt;0.05 IWC) when measuring Psop?</v>
      </c>
      <c r="D347" s="96" t="str">
        <f>'3. Blower Fan Airflow'!H30</f>
        <v>No</v>
      </c>
      <c r="E347" s="192" t="s">
        <v>310</v>
      </c>
      <c r="F347" s="192" t="str">
        <f>'3. Blower Fan Airflow'!J30</f>
        <v>6.5.2.4</v>
      </c>
      <c r="G347" s="193"/>
      <c r="H347" s="191"/>
      <c r="I347" s="191"/>
      <c r="J347" s="191"/>
      <c r="K347" s="191"/>
      <c r="L347" s="191"/>
      <c r="M347" s="191"/>
      <c r="N347" s="191"/>
      <c r="O347" s="191"/>
      <c r="P347" s="191"/>
      <c r="Q347" s="191"/>
      <c r="R347" s="191"/>
      <c r="S347" s="191"/>
      <c r="T347" s="191"/>
      <c r="U347" s="191"/>
      <c r="V347" s="191"/>
      <c r="W347" s="191"/>
      <c r="X347" s="191"/>
      <c r="Y347" s="191"/>
      <c r="Z347" s="191"/>
    </row>
    <row r="348" spans="1:26" s="143" customFormat="1" x14ac:dyDescent="0.25">
      <c r="A348" s="191"/>
      <c r="B348" s="143" t="str">
        <f t="shared" ca="1" si="9"/>
        <v>3. Blower Fan Airflow</v>
      </c>
      <c r="C348" s="201" t="str">
        <f>"Pressure Matching - "&amp;'3. Blower Fan Airflow'!B31</f>
        <v>Pressure Matching - Enter Fan Flowmeter location (at blower compartment or at return grille)</v>
      </c>
      <c r="D348" s="96" t="str">
        <f>'3. Blower Fan Airflow'!H31</f>
        <v>Return Grille</v>
      </c>
      <c r="E348" s="192" t="s">
        <v>310</v>
      </c>
      <c r="F348" s="192" t="str">
        <f>'3. Blower Fan Airflow'!J31</f>
        <v>6.5.2.5</v>
      </c>
      <c r="G348" s="193"/>
      <c r="H348" s="191"/>
      <c r="I348" s="191"/>
      <c r="J348" s="191"/>
      <c r="K348" s="191"/>
      <c r="L348" s="191"/>
      <c r="M348" s="191"/>
      <c r="N348" s="191"/>
      <c r="O348" s="191"/>
      <c r="P348" s="191"/>
      <c r="Q348" s="191"/>
      <c r="R348" s="191"/>
      <c r="S348" s="191"/>
      <c r="T348" s="191"/>
      <c r="U348" s="191"/>
      <c r="V348" s="191"/>
      <c r="W348" s="191"/>
      <c r="X348" s="191"/>
      <c r="Y348" s="191"/>
      <c r="Z348" s="191"/>
    </row>
    <row r="349" spans="1:26" s="143" customFormat="1" x14ac:dyDescent="0.25">
      <c r="A349" s="191"/>
      <c r="B349" s="143" t="str">
        <f t="shared" ca="1" si="9"/>
        <v>3. Blower Fan Airflow</v>
      </c>
      <c r="C349" s="201" t="str">
        <f>"Pressure Matching - "&amp;'3. Blower Fan Airflow'!B32</f>
        <v>Pressure Matching - Enter Ptest - pressure of the supply-side during test</v>
      </c>
      <c r="D349" s="96">
        <f>'3. Blower Fan Airflow'!H32</f>
        <v>0</v>
      </c>
      <c r="E349" s="192" t="str">
        <f>'3. Blower Fan Airflow'!I32</f>
        <v>Pa</v>
      </c>
      <c r="F349" s="192" t="str">
        <f>'3. Blower Fan Airflow'!J32</f>
        <v>6.5.2.7</v>
      </c>
      <c r="G349" s="193"/>
      <c r="H349" s="191"/>
      <c r="I349" s="191"/>
      <c r="J349" s="191"/>
      <c r="K349" s="191"/>
      <c r="L349" s="191"/>
      <c r="M349" s="191"/>
      <c r="N349" s="191"/>
      <c r="O349" s="191"/>
      <c r="P349" s="191"/>
      <c r="Q349" s="191"/>
      <c r="R349" s="191"/>
      <c r="S349" s="191"/>
      <c r="T349" s="191"/>
      <c r="U349" s="191"/>
      <c r="V349" s="191"/>
      <c r="W349" s="191"/>
      <c r="X349" s="191"/>
      <c r="Y349" s="191"/>
      <c r="Z349" s="191"/>
    </row>
    <row r="350" spans="1:26" s="143" customFormat="1" x14ac:dyDescent="0.25">
      <c r="A350" s="191"/>
      <c r="B350" s="143" t="str">
        <f t="shared" ca="1" si="9"/>
        <v>3. Blower Fan Airflow</v>
      </c>
      <c r="C350" s="202" t="str">
        <f>"Pressure Matching - "&amp;'3. Blower Fan Airflow'!B33</f>
        <v>Pressure Matching - Enter Qtest - the airflow through Fan Flowmeter</v>
      </c>
      <c r="D350" s="97">
        <f>'3. Blower Fan Airflow'!H33</f>
        <v>0</v>
      </c>
      <c r="E350" s="192" t="str">
        <f>'3. Blower Fan Airflow'!I33</f>
        <v>CFM</v>
      </c>
      <c r="F350" s="192" t="str">
        <f>'3. Blower Fan Airflow'!J33</f>
        <v>6.5.2.7</v>
      </c>
      <c r="G350" s="193"/>
      <c r="H350" s="191"/>
      <c r="I350" s="191"/>
      <c r="J350" s="191"/>
      <c r="K350" s="191"/>
      <c r="L350" s="191"/>
      <c r="M350" s="191"/>
      <c r="N350" s="191"/>
      <c r="O350" s="191"/>
      <c r="P350" s="191"/>
      <c r="Q350" s="191"/>
      <c r="R350" s="191"/>
      <c r="S350" s="191"/>
      <c r="T350" s="191"/>
      <c r="U350" s="191"/>
      <c r="V350" s="191"/>
      <c r="W350" s="191"/>
      <c r="X350" s="191"/>
      <c r="Y350" s="191"/>
      <c r="Z350" s="191"/>
    </row>
    <row r="351" spans="1:26" s="143" customFormat="1" x14ac:dyDescent="0.25">
      <c r="A351" s="193"/>
      <c r="B351" s="143" t="str">
        <f t="shared" ca="1" si="9"/>
        <v>3. Blower Fan Airflow</v>
      </c>
      <c r="C351" s="200" t="str">
        <f>"Pressure Matching - "&amp;'3. Blower Fan Airflow'!B34</f>
        <v>Pressure Matching - Blower fan airflow at operating conditions (Qop)</v>
      </c>
      <c r="D351" s="142" t="e">
        <f>'3. Blower Fan Airflow'!H34</f>
        <v>#DIV/0!</v>
      </c>
      <c r="E351" s="192" t="str">
        <f>'3. Blower Fan Airflow'!I34</f>
        <v>CFM</v>
      </c>
      <c r="F351" s="192" t="str">
        <f>'3. Blower Fan Airflow'!J34</f>
        <v>6.5.2.8</v>
      </c>
      <c r="G351" s="193"/>
      <c r="H351" s="191"/>
      <c r="I351" s="191"/>
      <c r="J351" s="191"/>
      <c r="K351" s="191"/>
      <c r="L351" s="191"/>
      <c r="M351" s="191"/>
      <c r="N351" s="191"/>
      <c r="O351" s="191"/>
      <c r="P351" s="191"/>
      <c r="Q351" s="191"/>
      <c r="R351" s="191"/>
      <c r="S351" s="191"/>
      <c r="T351" s="191"/>
      <c r="U351" s="191"/>
      <c r="V351" s="191"/>
      <c r="W351" s="191"/>
      <c r="X351" s="191"/>
      <c r="Y351" s="191"/>
      <c r="Z351" s="191"/>
    </row>
    <row r="352" spans="1:26" s="143" customFormat="1" x14ac:dyDescent="0.25">
      <c r="A352" s="193"/>
      <c r="B352" s="143" t="str">
        <f t="shared" ca="1" si="9"/>
        <v>3. Blower Fan Airflow</v>
      </c>
      <c r="C352" s="203" t="str">
        <f>"Flow Grid - "&amp;'3. Blower Fan Airflow'!B37</f>
        <v>Flow Grid - Enter Psop - pressure of the supply-side under normal operation</v>
      </c>
      <c r="D352" s="98">
        <f>'3. Blower Fan Airflow'!H37</f>
        <v>0</v>
      </c>
      <c r="E352" s="192" t="str">
        <f>'3. Blower Fan Airflow'!I37</f>
        <v>Pa</v>
      </c>
      <c r="F352" s="192" t="str">
        <f>'3. Blower Fan Airflow'!J37</f>
        <v>6.6.2.4</v>
      </c>
      <c r="G352" s="193"/>
      <c r="H352" s="191"/>
      <c r="I352" s="191"/>
      <c r="J352" s="191"/>
      <c r="K352" s="191"/>
      <c r="L352" s="191"/>
      <c r="M352" s="191"/>
      <c r="N352" s="191"/>
      <c r="O352" s="191"/>
      <c r="P352" s="191"/>
      <c r="Q352" s="191"/>
      <c r="R352" s="191"/>
      <c r="S352" s="191"/>
      <c r="T352" s="191"/>
      <c r="U352" s="191"/>
      <c r="V352" s="191"/>
      <c r="W352" s="191"/>
      <c r="X352" s="191"/>
      <c r="Y352" s="191"/>
      <c r="Z352" s="191"/>
    </row>
    <row r="353" spans="1:26" x14ac:dyDescent="0.25">
      <c r="A353" s="193"/>
      <c r="B353" s="143" t="str">
        <f t="shared" ca="1" si="9"/>
        <v>3. Blower Fan Airflow</v>
      </c>
      <c r="C353" s="201" t="str">
        <f>"Flow Grid - "&amp;'3. Blower Fan Airflow'!B38</f>
        <v>Flow Grid - Was there turbulence (fluctuations &gt;0.05 IWC) when measuring Psop?</v>
      </c>
      <c r="D353" s="96" t="str">
        <f>'3. Blower Fan Airflow'!H38</f>
        <v>No</v>
      </c>
      <c r="E353" s="192" t="s">
        <v>310</v>
      </c>
      <c r="F353" s="192" t="str">
        <f>'3. Blower Fan Airflow'!J38</f>
        <v>6.6.2.4</v>
      </c>
    </row>
    <row r="354" spans="1:26" x14ac:dyDescent="0.25">
      <c r="A354" s="193"/>
      <c r="B354" s="143" t="str">
        <f t="shared" ca="1" si="9"/>
        <v>3. Blower Fan Airflow</v>
      </c>
      <c r="C354" s="203" t="str">
        <f>"Flow Grid - "&amp;'3. Blower Fan Airflow'!B39</f>
        <v>Flow Grid - Enter Ptest - pressure of the supply-side during test</v>
      </c>
      <c r="D354" s="98">
        <f>'3. Blower Fan Airflow'!H39</f>
        <v>0</v>
      </c>
      <c r="E354" s="192" t="str">
        <f>'3. Blower Fan Airflow'!I39</f>
        <v>Pa</v>
      </c>
      <c r="F354" s="192" t="str">
        <f>'3. Blower Fan Airflow'!J39</f>
        <v>6.6.2.6</v>
      </c>
    </row>
    <row r="355" spans="1:26" x14ac:dyDescent="0.25">
      <c r="A355" s="193"/>
      <c r="B355" s="143" t="str">
        <f t="shared" ca="1" si="9"/>
        <v>3. Blower Fan Airflow</v>
      </c>
      <c r="C355" s="202" t="str">
        <f>"Flow Grid - "&amp;'3. Blower Fan Airflow'!B40</f>
        <v>Flow Grid - Enter Qtest - the airflow through Flow Grid</v>
      </c>
      <c r="D355" s="97">
        <f>'3. Blower Fan Airflow'!H40</f>
        <v>0</v>
      </c>
      <c r="E355" s="192" t="str">
        <f>'3. Blower Fan Airflow'!I40</f>
        <v>CFM</v>
      </c>
      <c r="F355" s="192" t="str">
        <f>'3. Blower Fan Airflow'!J40</f>
        <v>6.6.2.7</v>
      </c>
    </row>
    <row r="356" spans="1:26" x14ac:dyDescent="0.25">
      <c r="A356" s="193"/>
      <c r="B356" s="143" t="str">
        <f t="shared" ca="1" si="9"/>
        <v>3. Blower Fan Airflow</v>
      </c>
      <c r="C356" s="200" t="str">
        <f>"Flow Grid - "&amp;'3. Blower Fan Airflow'!B41</f>
        <v>Flow Grid - Blower fan airflow at operating conditions (Qop)</v>
      </c>
      <c r="D356" s="142" t="e">
        <f>'3. Blower Fan Airflow'!H41</f>
        <v>#DIV/0!</v>
      </c>
      <c r="E356" s="192" t="str">
        <f>'3. Blower Fan Airflow'!I41</f>
        <v>CFM</v>
      </c>
      <c r="F356" s="192" t="str">
        <f>'3. Blower Fan Airflow'!J41</f>
        <v>6.6.2.8</v>
      </c>
    </row>
    <row r="357" spans="1:26" x14ac:dyDescent="0.25">
      <c r="A357" s="193"/>
      <c r="B357" s="143" t="str">
        <f t="shared" ca="1" si="9"/>
        <v>3. Blower Fan Airflow</v>
      </c>
      <c r="C357" s="202" t="str">
        <f>"Flow Hood - "&amp;'3. Blower Fan Airflow'!G44</f>
        <v>Flow Hood - Return #1</v>
      </c>
      <c r="D357" s="97">
        <f>'3. Blower Fan Airflow'!H44</f>
        <v>0</v>
      </c>
      <c r="E357" s="192" t="str">
        <f>'3. Blower Fan Airflow'!I44</f>
        <v>CFM</v>
      </c>
      <c r="F357" s="192" t="str">
        <f>'3. Blower Fan Airflow'!J44</f>
        <v>6.7.2.1.2</v>
      </c>
    </row>
    <row r="358" spans="1:26" x14ac:dyDescent="0.25">
      <c r="A358" s="193"/>
      <c r="B358" s="143" t="str">
        <f t="shared" ca="1" si="9"/>
        <v>3. Blower Fan Airflow</v>
      </c>
      <c r="C358" s="202" t="str">
        <f>"Flow Hood - "&amp;'3. Blower Fan Airflow'!G45</f>
        <v>Flow Hood - Return #2</v>
      </c>
      <c r="D358" s="97">
        <f>'3. Blower Fan Airflow'!H45</f>
        <v>0</v>
      </c>
      <c r="E358" s="192" t="str">
        <f>'3. Blower Fan Airflow'!I45</f>
        <v>CFM</v>
      </c>
      <c r="F358" s="192" t="s">
        <v>310</v>
      </c>
    </row>
    <row r="359" spans="1:26" x14ac:dyDescent="0.25">
      <c r="A359" s="193"/>
      <c r="B359" s="143" t="str">
        <f t="shared" ca="1" si="9"/>
        <v>3. Blower Fan Airflow</v>
      </c>
      <c r="C359" s="202" t="str">
        <f>"Flow Hood - "&amp;'3. Blower Fan Airflow'!G46</f>
        <v>Flow Hood - Return #3</v>
      </c>
      <c r="D359" s="97">
        <f>'3. Blower Fan Airflow'!H46</f>
        <v>0</v>
      </c>
      <c r="E359" s="192" t="str">
        <f>'3. Blower Fan Airflow'!I46</f>
        <v>CFM</v>
      </c>
      <c r="F359" s="192" t="s">
        <v>310</v>
      </c>
    </row>
    <row r="360" spans="1:26" x14ac:dyDescent="0.25">
      <c r="A360" s="193"/>
      <c r="B360" s="143" t="str">
        <f t="shared" ca="1" si="9"/>
        <v>3. Blower Fan Airflow</v>
      </c>
      <c r="C360" s="202" t="str">
        <f>"Flow Hood - "&amp;'3. Blower Fan Airflow'!G47</f>
        <v>Flow Hood - Return #4</v>
      </c>
      <c r="D360" s="97">
        <f>'3. Blower Fan Airflow'!H47</f>
        <v>0</v>
      </c>
      <c r="E360" s="192" t="str">
        <f>'3. Blower Fan Airflow'!I47</f>
        <v>CFM</v>
      </c>
      <c r="F360" s="192" t="s">
        <v>310</v>
      </c>
    </row>
    <row r="361" spans="1:26" x14ac:dyDescent="0.25">
      <c r="A361" s="193"/>
      <c r="B361" s="143" t="str">
        <f t="shared" ca="1" si="9"/>
        <v>3. Blower Fan Airflow</v>
      </c>
      <c r="C361" s="200" t="str">
        <f>"Flow Hood - "&amp;'3. Blower Fan Airflow'!B48</f>
        <v>Flow Hood - Blower fan airflow at operating conditions (Qop)</v>
      </c>
      <c r="D361" s="142">
        <f>'3. Blower Fan Airflow'!H48</f>
        <v>0</v>
      </c>
      <c r="E361" s="192" t="str">
        <f>'3. Blower Fan Airflow'!I48</f>
        <v>CFM</v>
      </c>
      <c r="F361" s="192" t="str">
        <f>'3. Blower Fan Airflow'!J48</f>
        <v>6.7.2.2</v>
      </c>
    </row>
    <row r="362" spans="1:26" x14ac:dyDescent="0.25">
      <c r="A362" s="193"/>
      <c r="B362" s="143" t="str">
        <f t="shared" ca="1" si="9"/>
        <v>3. Blower Fan Airflow</v>
      </c>
      <c r="C362" s="201" t="str">
        <f>"OEM Table - "&amp;'3. Blower Fan Airflow'!B51</f>
        <v>OEM Table - Blower fan motor type. 
Note: ECM/Other fan types can only be used at elevations &gt;2,500 Ft if OEM provides instructions to account for elevation.</v>
      </c>
      <c r="D362" s="96" t="str">
        <f>'3. Blower Fan Airflow'!H51</f>
        <v>PSC</v>
      </c>
      <c r="E362" s="192" t="s">
        <v>310</v>
      </c>
      <c r="F362" s="192" t="str">
        <f>'3. Blower Fan Airflow'!J51</f>
        <v>6.8.3.1</v>
      </c>
    </row>
    <row r="363" spans="1:26" x14ac:dyDescent="0.25">
      <c r="A363" s="193"/>
      <c r="B363" s="143" t="str">
        <f t="shared" ca="1" si="9"/>
        <v>3. Blower Fan Airflow</v>
      </c>
      <c r="C363" s="204" t="str">
        <f>"OEM Table - "&amp;'3. Blower Fan Airflow'!B54</f>
        <v>OEM Table - Enter observed fan-speed setting</v>
      </c>
      <c r="D363" s="99">
        <f>'3. Blower Fan Airflow'!H54</f>
        <v>0</v>
      </c>
      <c r="E363" s="192" t="s">
        <v>310</v>
      </c>
      <c r="F363" s="192" t="str">
        <f>'3. Blower Fan Airflow'!J54</f>
        <v>6.8.3.2</v>
      </c>
    </row>
    <row r="364" spans="1:26" x14ac:dyDescent="0.25">
      <c r="A364" s="193"/>
      <c r="B364" s="143" t="str">
        <f t="shared" ca="1" si="9"/>
        <v>3. Blower Fan Airflow</v>
      </c>
      <c r="C364" s="201" t="str">
        <f>"OEM Table - "&amp;'3. Blower Fan Airflow'!B55</f>
        <v>OEM Table - Enter Psop - pressure of the supply-side under normal operation</v>
      </c>
      <c r="D364" s="96">
        <f>'3. Blower Fan Airflow'!H55</f>
        <v>0</v>
      </c>
      <c r="E364" s="192" t="str">
        <f>'3. Blower Fan Airflow'!I55</f>
        <v>Pa</v>
      </c>
      <c r="F364" s="192" t="str">
        <f>'3. Blower Fan Airflow'!J55</f>
        <v>6.8.3.7</v>
      </c>
    </row>
    <row r="365" spans="1:26" s="193" customFormat="1" x14ac:dyDescent="0.25">
      <c r="B365" s="143" t="str">
        <f t="shared" ca="1" si="9"/>
        <v>3. Blower Fan Airflow</v>
      </c>
      <c r="C365" s="201" t="str">
        <f>"OEM Table - "&amp;'3. Blower Fan Airflow'!B56</f>
        <v>OEM Table - Was there turbulence (fluctuations &gt;0.05 IWC) when measuring Psop?</v>
      </c>
      <c r="D365" s="96" t="str">
        <f>'3. Blower Fan Airflow'!H56</f>
        <v>Yes</v>
      </c>
      <c r="E365" s="192" t="s">
        <v>310</v>
      </c>
      <c r="F365" s="192" t="str">
        <f>'3. Blower Fan Airflow'!J56</f>
        <v>6.8.3.7</v>
      </c>
      <c r="H365" s="191"/>
      <c r="I365" s="191"/>
      <c r="J365" s="191"/>
      <c r="K365" s="191"/>
      <c r="L365" s="191"/>
      <c r="M365" s="191"/>
      <c r="N365" s="191"/>
      <c r="O365" s="191"/>
      <c r="P365" s="191"/>
      <c r="Q365" s="191"/>
      <c r="R365" s="191"/>
      <c r="S365" s="191"/>
      <c r="T365" s="191"/>
      <c r="U365" s="191"/>
      <c r="V365" s="191"/>
      <c r="W365" s="191"/>
      <c r="X365" s="191"/>
      <c r="Y365" s="191"/>
      <c r="Z365" s="191"/>
    </row>
    <row r="366" spans="1:26" s="193" customFormat="1" x14ac:dyDescent="0.25">
      <c r="B366" s="143" t="str">
        <f t="shared" ca="1" si="9"/>
        <v>3. Blower Fan Airflow</v>
      </c>
      <c r="C366" s="201" t="str">
        <f>"OEM Table - "&amp;'3. Blower Fan Airflow'!B57</f>
        <v>OEM Table - Enter Prop - pressure of the return-side under normal operation</v>
      </c>
      <c r="D366" s="96">
        <f>'3. Blower Fan Airflow'!H57</f>
        <v>0</v>
      </c>
      <c r="E366" s="192" t="str">
        <f>'3. Blower Fan Airflow'!I57</f>
        <v>Pa</v>
      </c>
      <c r="F366" s="192" t="str">
        <f>'3. Blower Fan Airflow'!J57</f>
        <v>6.8.3.9</v>
      </c>
      <c r="H366" s="191"/>
      <c r="I366" s="191"/>
      <c r="J366" s="191"/>
      <c r="K366" s="191"/>
      <c r="L366" s="191"/>
      <c r="M366" s="191"/>
      <c r="N366" s="191"/>
      <c r="O366" s="191"/>
      <c r="P366" s="191"/>
      <c r="Q366" s="191"/>
      <c r="R366" s="191"/>
      <c r="S366" s="191"/>
      <c r="T366" s="191"/>
      <c r="U366" s="191"/>
      <c r="V366" s="191"/>
      <c r="W366" s="191"/>
      <c r="X366" s="191"/>
      <c r="Y366" s="191"/>
      <c r="Z366" s="191"/>
    </row>
    <row r="367" spans="1:26" s="193" customFormat="1" x14ac:dyDescent="0.25">
      <c r="B367" s="143" t="str">
        <f t="shared" ca="1" si="9"/>
        <v>3. Blower Fan Airflow</v>
      </c>
      <c r="C367" s="201" t="str">
        <f>"OEM Table - "&amp;'3. Blower Fan Airflow'!B58</f>
        <v>OEM Table - Was there turbulence (fluctuations &gt;0.05 IWC) when measuring Prop?</v>
      </c>
      <c r="D367" s="96" t="str">
        <f>'3. Blower Fan Airflow'!H58</f>
        <v>Yes</v>
      </c>
      <c r="E367" s="192" t="s">
        <v>310</v>
      </c>
      <c r="F367" s="192" t="str">
        <f>'3. Blower Fan Airflow'!J58</f>
        <v>6.8.3.9</v>
      </c>
      <c r="H367" s="191"/>
      <c r="I367" s="191"/>
      <c r="J367" s="191"/>
      <c r="K367" s="191"/>
      <c r="L367" s="191"/>
      <c r="M367" s="191"/>
      <c r="N367" s="191"/>
      <c r="O367" s="191"/>
      <c r="P367" s="191"/>
      <c r="Q367" s="191"/>
      <c r="R367" s="191"/>
      <c r="S367" s="191"/>
      <c r="T367" s="191"/>
      <c r="U367" s="191"/>
      <c r="V367" s="191"/>
      <c r="W367" s="191"/>
      <c r="X367" s="191"/>
      <c r="Y367" s="191"/>
      <c r="Z367" s="191"/>
    </row>
    <row r="368" spans="1:26" s="193" customFormat="1" x14ac:dyDescent="0.25">
      <c r="B368" s="143" t="str">
        <f t="shared" ca="1" si="9"/>
        <v>3. Blower Fan Airflow</v>
      </c>
      <c r="C368" s="201" t="str">
        <f>"OEM Table - "&amp;'3. Blower Fan Airflow'!B59</f>
        <v>OEM Table - Elevation above sea level</v>
      </c>
      <c r="D368" s="96">
        <f>'3. Blower Fan Airflow'!H59</f>
        <v>0</v>
      </c>
      <c r="E368" s="192" t="str">
        <f>'3. Blower Fan Airflow'!I59</f>
        <v>Ft</v>
      </c>
      <c r="F368" s="192" t="str">
        <f>'3. Blower Fan Airflow'!J59</f>
        <v>6.8.3.10</v>
      </c>
      <c r="H368" s="143"/>
      <c r="I368" s="143"/>
      <c r="J368" s="143"/>
      <c r="K368" s="143"/>
      <c r="L368" s="143"/>
      <c r="M368" s="143"/>
      <c r="N368" s="143"/>
      <c r="O368" s="143"/>
      <c r="P368" s="143"/>
      <c r="Q368" s="143"/>
      <c r="R368" s="143"/>
      <c r="S368" s="143"/>
      <c r="T368" s="143"/>
      <c r="U368" s="143"/>
      <c r="V368" s="143"/>
      <c r="W368" s="143"/>
      <c r="X368" s="143"/>
      <c r="Y368" s="143"/>
      <c r="Z368" s="143"/>
    </row>
    <row r="369" spans="2:26" s="193" customFormat="1" x14ac:dyDescent="0.25">
      <c r="B369" s="143" t="str">
        <f t="shared" ca="1" si="9"/>
        <v>3. Blower Fan Airflow</v>
      </c>
      <c r="C369" s="205" t="str">
        <f>"OEM Table - "&amp;'3. Blower Fan Airflow'!B60</f>
        <v>OEM Table - Elevation Adjustment Factor (Padj)</v>
      </c>
      <c r="D369" s="144">
        <f>'3. Blower Fan Airflow'!H60</f>
        <v>1</v>
      </c>
      <c r="E369" s="192" t="s">
        <v>310</v>
      </c>
      <c r="F369" s="192" t="str">
        <f>'3. Blower Fan Airflow'!J60</f>
        <v>6.8.3.10</v>
      </c>
      <c r="H369" s="143"/>
      <c r="I369" s="143"/>
      <c r="J369" s="143"/>
      <c r="K369" s="143"/>
      <c r="L369" s="143"/>
      <c r="M369" s="143"/>
      <c r="N369" s="143"/>
      <c r="O369" s="143"/>
      <c r="P369" s="143"/>
      <c r="Q369" s="143"/>
      <c r="R369" s="143"/>
      <c r="S369" s="143"/>
      <c r="T369" s="143"/>
      <c r="U369" s="143"/>
      <c r="V369" s="143"/>
      <c r="W369" s="143"/>
      <c r="X369" s="143"/>
      <c r="Y369" s="143"/>
      <c r="Z369" s="143"/>
    </row>
    <row r="370" spans="2:26" s="193" customFormat="1" x14ac:dyDescent="0.25">
      <c r="B370" s="143" t="str">
        <f t="shared" ca="1" si="9"/>
        <v>3. Blower Fan Airflow</v>
      </c>
      <c r="C370" s="204" t="str">
        <f>"OEM Table - "&amp;'3. Blower Fan Airflow'!B61</f>
        <v>OEM Table - Enter filter pressure drop accounted for in OEM Static Pressure Table (Pfilter). Enter 0 if Table does not account for filter, or is unclear about presence of filter. Enter 0.1 IWC if Table accounts for filter, but pressure drop is not specified.</v>
      </c>
      <c r="D370" s="99">
        <f>'3. Blower Fan Airflow'!H61</f>
        <v>0</v>
      </c>
      <c r="E370" s="192" t="str">
        <f>'3. Blower Fan Airflow'!I61</f>
        <v>IWC</v>
      </c>
      <c r="F370" s="192" t="str">
        <f>'3. Blower Fan Airflow'!J61</f>
        <v>6.8.3.11</v>
      </c>
      <c r="H370" s="143"/>
      <c r="I370" s="143"/>
      <c r="J370" s="143"/>
      <c r="K370" s="143"/>
      <c r="L370" s="143"/>
      <c r="M370" s="143"/>
      <c r="N370" s="143"/>
      <c r="O370" s="143"/>
      <c r="P370" s="143"/>
      <c r="Q370" s="143"/>
      <c r="R370" s="143"/>
      <c r="S370" s="143"/>
      <c r="T370" s="143"/>
      <c r="U370" s="143"/>
      <c r="V370" s="143"/>
      <c r="W370" s="143"/>
      <c r="X370" s="143"/>
      <c r="Y370" s="143"/>
      <c r="Z370" s="143"/>
    </row>
    <row r="371" spans="2:26" s="193" customFormat="1" x14ac:dyDescent="0.25">
      <c r="B371" s="143" t="str">
        <f t="shared" ca="1" si="9"/>
        <v>3. Blower Fan Airflow</v>
      </c>
      <c r="C371" s="206" t="str">
        <f>"OEM Table - "&amp;'3. Blower Fan Airflow'!B65</f>
        <v>OEM Table - Pressure difference for OEM Static Pressure Table (Ptop)</v>
      </c>
      <c r="D371" s="145">
        <f>'3. Blower Fan Airflow'!H65</f>
        <v>0</v>
      </c>
      <c r="E371" s="192" t="str">
        <f>'3. Blower Fan Airflow'!I65</f>
        <v>IWC</v>
      </c>
      <c r="F371" s="192" t="str">
        <f>'3. Blower Fan Airflow'!J65</f>
        <v>6.8.3.11</v>
      </c>
      <c r="H371" s="143"/>
      <c r="I371" s="143"/>
      <c r="J371" s="143"/>
      <c r="K371" s="143"/>
      <c r="L371" s="143"/>
      <c r="M371" s="143"/>
      <c r="N371" s="143"/>
      <c r="O371" s="143"/>
      <c r="P371" s="143"/>
      <c r="Q371" s="143"/>
      <c r="R371" s="143"/>
      <c r="S371" s="143"/>
      <c r="T371" s="143"/>
      <c r="U371" s="143"/>
      <c r="V371" s="143"/>
      <c r="W371" s="143"/>
      <c r="X371" s="143"/>
      <c r="Y371" s="143"/>
      <c r="Z371" s="143"/>
    </row>
    <row r="372" spans="2:26" s="193" customFormat="1" x14ac:dyDescent="0.25">
      <c r="B372" s="143" t="str">
        <f t="shared" ca="1" si="9"/>
        <v>3. Blower Fan Airflow</v>
      </c>
      <c r="C372" s="202" t="str">
        <f>"OEM Table - "&amp;'3. Blower Fan Airflow'!B66</f>
        <v>OEM Table - Enter blower fan airflow at operating conditions (Qop)</v>
      </c>
      <c r="D372" s="97">
        <f>'3. Blower Fan Airflow'!H66</f>
        <v>0</v>
      </c>
      <c r="E372" s="192" t="str">
        <f>'3. Blower Fan Airflow'!I66</f>
        <v>CFM</v>
      </c>
      <c r="F372" s="192" t="str">
        <f>'3. Blower Fan Airflow'!J66</f>
        <v>6.8.3.12</v>
      </c>
      <c r="H372" s="143"/>
      <c r="I372" s="143"/>
      <c r="J372" s="143"/>
      <c r="K372" s="143"/>
      <c r="L372" s="143"/>
      <c r="M372" s="143"/>
      <c r="N372" s="143"/>
      <c r="O372" s="143"/>
      <c r="P372" s="143"/>
      <c r="Q372" s="143"/>
      <c r="R372" s="143"/>
      <c r="S372" s="143"/>
      <c r="T372" s="143"/>
      <c r="U372" s="143"/>
      <c r="V372" s="143"/>
      <c r="W372" s="143"/>
      <c r="X372" s="143"/>
      <c r="Y372" s="143"/>
      <c r="Z372" s="143"/>
    </row>
    <row r="373" spans="2:26" s="193" customFormat="1" x14ac:dyDescent="0.25">
      <c r="B373" s="143" t="str">
        <f t="shared" ca="1" si="9"/>
        <v>3. Blower Fan Airflow</v>
      </c>
      <c r="C373" s="202" t="str">
        <f>'3. Blower Fan Airflow'!B72</f>
        <v>Final Blower fan airflow at operating conditions (Qop)</v>
      </c>
      <c r="D373" s="97" t="str">
        <f>'3. Blower Fan Airflow'!H72</f>
        <v>Prereq Not Met</v>
      </c>
      <c r="E373" s="97" t="str">
        <f>'3. Blower Fan Airflow'!I72</f>
        <v>CFM</v>
      </c>
      <c r="F373" s="192" t="s">
        <v>310</v>
      </c>
      <c r="H373" s="143"/>
      <c r="I373" s="143"/>
      <c r="J373" s="143"/>
      <c r="K373" s="143"/>
      <c r="L373" s="143"/>
      <c r="M373" s="143"/>
      <c r="N373" s="143"/>
      <c r="O373" s="143"/>
      <c r="P373" s="143"/>
      <c r="Q373" s="143"/>
      <c r="R373" s="143"/>
      <c r="S373" s="143"/>
      <c r="T373" s="143"/>
      <c r="U373" s="143"/>
      <c r="V373" s="143"/>
      <c r="W373" s="143"/>
      <c r="X373" s="143"/>
      <c r="Y373" s="143"/>
      <c r="Z373" s="143"/>
    </row>
    <row r="374" spans="2:26" s="193" customFormat="1" x14ac:dyDescent="0.25">
      <c r="B374" s="143" t="str">
        <f t="shared" ref="B374:B396" ca="1" si="10">MID(CELL("filename",INDIRECT(RIGHT(_xlfn.FORMULATEXT(D374),LEN(_xlfn.FORMULATEXT(D374))-1),TRUE)),FIND("]",CELL("filename",INDIRECT(RIGHT(_xlfn.FORMULATEXT(D374),LEN(_xlfn.FORMULATEXT(D374))-1),TRUE)))+1,255)</f>
        <v>3. Blower Fan Airflow</v>
      </c>
      <c r="C374" s="207" t="str">
        <f>'3. Blower Fan Airflow'!B73</f>
        <v>FAF (i.e., Fault)</v>
      </c>
      <c r="D374" s="146" t="str">
        <f>'3. Blower Fan Airflow'!H73</f>
        <v>Prereq Not Met</v>
      </c>
      <c r="E374" s="192" t="s">
        <v>310</v>
      </c>
      <c r="F374" s="146" t="str">
        <f>'3. Blower Fan Airflow'!J73</f>
        <v>6.9.1</v>
      </c>
      <c r="H374" s="143"/>
      <c r="I374" s="143"/>
      <c r="J374" s="143"/>
      <c r="K374" s="143"/>
      <c r="L374" s="143"/>
      <c r="M374" s="143"/>
      <c r="N374" s="143"/>
      <c r="O374" s="143"/>
      <c r="P374" s="143"/>
      <c r="Q374" s="143"/>
      <c r="R374" s="143"/>
      <c r="S374" s="143"/>
      <c r="T374" s="143"/>
      <c r="U374" s="143"/>
      <c r="V374" s="143"/>
      <c r="W374" s="143"/>
      <c r="X374" s="143"/>
      <c r="Y374" s="143"/>
      <c r="Z374" s="143"/>
    </row>
    <row r="375" spans="2:26" s="193" customFormat="1" x14ac:dyDescent="0.25">
      <c r="B375" s="143" t="str">
        <f t="shared" ca="1" si="10"/>
        <v>3. Blower Fan Airflow</v>
      </c>
      <c r="C375" s="199" t="str">
        <f>'3. Blower Fan Airflow'!B74</f>
        <v>Blower fan volumetric airflow grade</v>
      </c>
      <c r="D375" s="141" t="str">
        <f>'3. Blower Fan Airflow'!H74</f>
        <v>Grade III</v>
      </c>
      <c r="E375" s="192" t="s">
        <v>310</v>
      </c>
      <c r="F375" s="141" t="str">
        <f>'3. Blower Fan Airflow'!J74</f>
        <v>6.9.2</v>
      </c>
      <c r="H375" s="143"/>
      <c r="I375" s="143"/>
      <c r="J375" s="143"/>
      <c r="K375" s="143"/>
      <c r="L375" s="143"/>
      <c r="M375" s="143"/>
      <c r="N375" s="143"/>
      <c r="O375" s="143"/>
      <c r="P375" s="143"/>
      <c r="Q375" s="143"/>
      <c r="R375" s="143"/>
      <c r="S375" s="143"/>
      <c r="T375" s="143"/>
      <c r="U375" s="143"/>
      <c r="V375" s="143"/>
      <c r="W375" s="143"/>
      <c r="X375" s="143"/>
      <c r="Y375" s="143"/>
      <c r="Z375" s="143"/>
    </row>
    <row r="376" spans="2:26" s="193" customFormat="1" x14ac:dyDescent="0.25">
      <c r="B376" s="143" t="str">
        <f t="shared" ca="1" si="10"/>
        <v>4. Blower Fan Watt Draw</v>
      </c>
      <c r="C376" s="199" t="str">
        <f>'4. Blower Fan Watt Draw'!B4</f>
        <v>Did blower fan airflow achieve Grade I or II designation?</v>
      </c>
      <c r="D376" s="141" t="str">
        <f>'4. Blower Fan Watt Draw'!H4</f>
        <v>No</v>
      </c>
      <c r="E376" s="192" t="s">
        <v>310</v>
      </c>
      <c r="F376" s="141">
        <f>'4. Blower Fan Watt Draw'!J4</f>
        <v>7.2</v>
      </c>
      <c r="H376" s="143"/>
      <c r="I376" s="143"/>
      <c r="J376" s="143"/>
      <c r="K376" s="143"/>
      <c r="L376" s="143"/>
      <c r="M376" s="143"/>
      <c r="N376" s="143"/>
      <c r="O376" s="143"/>
      <c r="P376" s="143"/>
      <c r="Q376" s="143"/>
      <c r="R376" s="143"/>
      <c r="S376" s="143"/>
      <c r="T376" s="143"/>
      <c r="U376" s="143"/>
      <c r="V376" s="143"/>
      <c r="W376" s="143"/>
      <c r="X376" s="143"/>
      <c r="Y376" s="143"/>
      <c r="Z376" s="143"/>
    </row>
    <row r="377" spans="2:26" s="193" customFormat="1" x14ac:dyDescent="0.25">
      <c r="B377" s="143" t="str">
        <f t="shared" ca="1" si="10"/>
        <v>4. Blower Fan Watt Draw</v>
      </c>
      <c r="C377" s="201" t="str">
        <f>'4. Blower Fan Watt Draw'!B7</f>
        <v>Dwelling and forced-air HVAC system set up per Section 7.3?</v>
      </c>
      <c r="D377" s="96" t="str">
        <f>'4. Blower Fan Watt Draw'!H7</f>
        <v>Yes</v>
      </c>
      <c r="E377" s="192" t="s">
        <v>310</v>
      </c>
      <c r="F377" s="96">
        <f>'4. Blower Fan Watt Draw'!J7</f>
        <v>7.3</v>
      </c>
      <c r="H377" s="143"/>
      <c r="I377" s="143"/>
      <c r="J377" s="143"/>
      <c r="K377" s="143"/>
      <c r="L377" s="143"/>
      <c r="M377" s="143"/>
      <c r="N377" s="143"/>
      <c r="O377" s="143"/>
      <c r="P377" s="143"/>
      <c r="Q377" s="143"/>
      <c r="R377" s="143"/>
      <c r="S377" s="143"/>
      <c r="T377" s="143"/>
      <c r="U377" s="143"/>
      <c r="V377" s="143"/>
      <c r="W377" s="143"/>
      <c r="X377" s="143"/>
      <c r="Y377" s="143"/>
      <c r="Z377" s="143"/>
    </row>
    <row r="378" spans="2:26" s="193" customFormat="1" x14ac:dyDescent="0.25">
      <c r="B378" s="143" t="str">
        <f t="shared" ca="1" si="10"/>
        <v>4. Blower Fan Watt Draw</v>
      </c>
      <c r="C378" s="201" t="str">
        <f>'4. Blower Fan Watt Draw'!B8</f>
        <v>Enter mode that forced-air HVAC system was tested in</v>
      </c>
      <c r="D378" s="96" t="str">
        <f>'4. Blower Fan Watt Draw'!H8</f>
        <v>Cooling</v>
      </c>
      <c r="E378" s="192" t="s">
        <v>310</v>
      </c>
      <c r="F378" s="96" t="str">
        <f>'4. Blower Fan Watt Draw'!J8</f>
        <v>7.3.2</v>
      </c>
      <c r="H378" s="143"/>
      <c r="I378" s="143"/>
      <c r="J378" s="143"/>
      <c r="K378" s="143"/>
      <c r="L378" s="143"/>
      <c r="M378" s="143"/>
      <c r="N378" s="143"/>
      <c r="O378" s="143"/>
      <c r="P378" s="143"/>
      <c r="Q378" s="143"/>
      <c r="R378" s="143"/>
      <c r="S378" s="143"/>
      <c r="T378" s="143"/>
      <c r="U378" s="143"/>
      <c r="V378" s="143"/>
      <c r="W378" s="143"/>
      <c r="X378" s="143"/>
      <c r="Y378" s="143"/>
      <c r="Z378" s="143"/>
    </row>
    <row r="379" spans="2:26" s="193" customFormat="1" x14ac:dyDescent="0.25">
      <c r="B379" s="143" t="str">
        <f t="shared" ca="1" si="10"/>
        <v>4. Blower Fan Watt Draw</v>
      </c>
      <c r="C379" s="208" t="str">
        <f>'4. Blower Fan Watt Draw'!B11</f>
        <v>Select one test method for measuring blower fan watt draw</v>
      </c>
      <c r="D379" s="100" t="str">
        <f>'4. Blower Fan Watt Draw'!H11</f>
        <v>Portable Plug-In Watt Meter</v>
      </c>
      <c r="E379" s="192" t="s">
        <v>310</v>
      </c>
      <c r="F379" s="192" t="s">
        <v>310</v>
      </c>
      <c r="H379" s="143"/>
      <c r="I379" s="143"/>
      <c r="J379" s="143"/>
      <c r="K379" s="143"/>
      <c r="L379" s="143"/>
      <c r="M379" s="143"/>
      <c r="N379" s="143"/>
      <c r="O379" s="143"/>
      <c r="P379" s="143"/>
      <c r="Q379" s="143"/>
      <c r="R379" s="143"/>
      <c r="S379" s="143"/>
      <c r="T379" s="143"/>
      <c r="U379" s="143"/>
      <c r="V379" s="143"/>
      <c r="W379" s="143"/>
      <c r="X379" s="143"/>
      <c r="Y379" s="143"/>
      <c r="Z379" s="143"/>
    </row>
    <row r="380" spans="2:26" s="193" customFormat="1" x14ac:dyDescent="0.25">
      <c r="B380" s="143" t="str">
        <f t="shared" ca="1" si="10"/>
        <v>4. Blower Fan Watt Draw</v>
      </c>
      <c r="C380" s="201" t="str">
        <f>"Plug-In Watt Meter - "&amp;'4. Blower Fan Watt Draw'!B15</f>
        <v>Plug-In Watt Meter - Enter Wfan, watt draw of blower fan</v>
      </c>
      <c r="D380" s="96">
        <f>'4. Blower Fan Watt Draw'!H15</f>
        <v>0</v>
      </c>
      <c r="E380" s="96" t="str">
        <f>'4. Blower Fan Watt Draw'!I15</f>
        <v>Watts</v>
      </c>
      <c r="F380" s="96" t="str">
        <f>'4. Blower Fan Watt Draw'!J15</f>
        <v>7.4.2.3</v>
      </c>
      <c r="H380" s="143"/>
      <c r="I380" s="143"/>
      <c r="J380" s="143"/>
      <c r="K380" s="143"/>
      <c r="L380" s="143"/>
      <c r="M380" s="143"/>
      <c r="N380" s="143"/>
      <c r="O380" s="143"/>
      <c r="P380" s="143"/>
      <c r="Q380" s="143"/>
      <c r="R380" s="143"/>
      <c r="S380" s="143"/>
      <c r="T380" s="143"/>
      <c r="U380" s="143"/>
      <c r="V380" s="143"/>
      <c r="W380" s="143"/>
      <c r="X380" s="143"/>
      <c r="Y380" s="143"/>
      <c r="Z380" s="143"/>
    </row>
    <row r="381" spans="2:26" s="193" customFormat="1" x14ac:dyDescent="0.25">
      <c r="B381" s="143" t="str">
        <f t="shared" ca="1" si="10"/>
        <v>4. Blower Fan Watt Draw</v>
      </c>
      <c r="C381" s="201" t="str">
        <f>"Plug-In Watt Meter - "&amp;'4. Blower Fan Watt Draw'!B18</f>
        <v>Plug-In Watt Meter - Enter Wfan, watt draw of blower fan</v>
      </c>
      <c r="D381" s="96">
        <f>'4. Blower Fan Watt Draw'!H18</f>
        <v>0</v>
      </c>
      <c r="E381" s="96" t="str">
        <f>'4. Blower Fan Watt Draw'!I18</f>
        <v>Watts</v>
      </c>
      <c r="F381" s="96" t="str">
        <f>'4. Blower Fan Watt Draw'!J18</f>
        <v>7.5.2.4.1.3 or 7.5.2.4.2.3</v>
      </c>
      <c r="H381" s="143"/>
      <c r="I381" s="143"/>
      <c r="J381" s="143"/>
      <c r="K381" s="143"/>
      <c r="L381" s="143"/>
      <c r="M381" s="143"/>
      <c r="N381" s="143"/>
      <c r="O381" s="143"/>
      <c r="P381" s="143"/>
      <c r="Q381" s="143"/>
      <c r="R381" s="143"/>
      <c r="S381" s="143"/>
      <c r="T381" s="143"/>
      <c r="U381" s="143"/>
      <c r="V381" s="143"/>
      <c r="W381" s="143"/>
      <c r="X381" s="143"/>
      <c r="Y381" s="143"/>
      <c r="Z381" s="143"/>
    </row>
    <row r="382" spans="2:26" s="193" customFormat="1" x14ac:dyDescent="0.25">
      <c r="B382" s="143" t="str">
        <f t="shared" ca="1" si="10"/>
        <v>4. Blower Fan Watt Draw</v>
      </c>
      <c r="C382" s="209" t="str">
        <f>"Utility Revenue Meter - "&amp;'4. Blower Fan Watt Draw'!B21</f>
        <v>Utility Revenue Meter - Enter Kh factor on revenue meter</v>
      </c>
      <c r="D382" s="96">
        <f>'4. Blower Fan Watt Draw'!H21</f>
        <v>0</v>
      </c>
      <c r="E382" s="192" t="s">
        <v>310</v>
      </c>
      <c r="F382" s="96" t="str">
        <f>'4. Blower Fan Watt Draw'!J21</f>
        <v>7.6.2.3</v>
      </c>
      <c r="H382" s="143"/>
      <c r="I382" s="143"/>
      <c r="J382" s="143"/>
      <c r="K382" s="143"/>
      <c r="L382" s="143"/>
      <c r="M382" s="143"/>
      <c r="N382" s="143"/>
      <c r="O382" s="143"/>
      <c r="P382" s="143"/>
      <c r="Q382" s="143"/>
      <c r="R382" s="143"/>
      <c r="S382" s="143"/>
      <c r="T382" s="143"/>
      <c r="U382" s="143"/>
      <c r="V382" s="143"/>
      <c r="W382" s="143"/>
      <c r="X382" s="143"/>
      <c r="Y382" s="143"/>
      <c r="Z382" s="143"/>
    </row>
    <row r="383" spans="2:26" s="193" customFormat="1" x14ac:dyDescent="0.25">
      <c r="B383" s="143" t="str">
        <f t="shared" ca="1" si="10"/>
        <v>4. Blower Fan Watt Draw</v>
      </c>
      <c r="C383" s="201" t="str">
        <f>"Utility Revenue Meter - "&amp;'4. Blower Fan Watt Draw'!B22</f>
        <v>Utility Revenue Meter - Enter Nrev - number of revolutions during period</v>
      </c>
      <c r="D383" s="96">
        <f>'4. Blower Fan Watt Draw'!H22</f>
        <v>0</v>
      </c>
      <c r="E383" s="96" t="str">
        <f>'4. Blower Fan Watt Draw'!I22</f>
        <v>Revs.</v>
      </c>
      <c r="F383" s="96" t="str">
        <f>'4. Blower Fan Watt Draw'!J22</f>
        <v>7.6.2.4</v>
      </c>
      <c r="H383" s="143"/>
      <c r="I383" s="143"/>
      <c r="J383" s="143"/>
      <c r="K383" s="143"/>
      <c r="L383" s="143"/>
      <c r="M383" s="143"/>
      <c r="N383" s="143"/>
      <c r="O383" s="143"/>
      <c r="P383" s="143"/>
      <c r="Q383" s="143"/>
      <c r="R383" s="143"/>
      <c r="S383" s="143"/>
      <c r="T383" s="143"/>
      <c r="U383" s="143"/>
      <c r="V383" s="143"/>
      <c r="W383" s="143"/>
      <c r="X383" s="143"/>
      <c r="Y383" s="143"/>
      <c r="Z383" s="143"/>
    </row>
    <row r="384" spans="2:26" s="193" customFormat="1" x14ac:dyDescent="0.25">
      <c r="B384" s="143" t="str">
        <f t="shared" ca="1" si="10"/>
        <v>4. Blower Fan Watt Draw</v>
      </c>
      <c r="C384" s="201" t="str">
        <f>"Utility Revenue Meter - "&amp;'4. Blower Fan Watt Draw'!B23</f>
        <v>Utility Revenue Meter - Enter Trev - duration of period (must be ≥ 90 seconds)</v>
      </c>
      <c r="D384" s="96">
        <f>'4. Blower Fan Watt Draw'!H23</f>
        <v>0</v>
      </c>
      <c r="E384" s="96" t="str">
        <f>'4. Blower Fan Watt Draw'!I23</f>
        <v>Seconds</v>
      </c>
      <c r="F384" s="96" t="str">
        <f>'4. Blower Fan Watt Draw'!J23</f>
        <v>7.6.2.4</v>
      </c>
      <c r="H384" s="143"/>
      <c r="I384" s="143"/>
      <c r="J384" s="143"/>
      <c r="K384" s="143"/>
      <c r="L384" s="143"/>
      <c r="M384" s="143"/>
      <c r="N384" s="143"/>
      <c r="O384" s="143"/>
      <c r="P384" s="143"/>
      <c r="Q384" s="143"/>
      <c r="R384" s="143"/>
      <c r="S384" s="143"/>
      <c r="T384" s="143"/>
      <c r="U384" s="143"/>
      <c r="V384" s="143"/>
      <c r="W384" s="143"/>
      <c r="X384" s="143"/>
      <c r="Y384" s="143"/>
      <c r="Z384" s="143"/>
    </row>
    <row r="385" spans="2:26" s="193" customFormat="1" x14ac:dyDescent="0.25">
      <c r="B385" s="143" t="str">
        <f t="shared" ca="1" si="10"/>
        <v>4. Blower Fan Watt Draw</v>
      </c>
      <c r="C385" s="199" t="str">
        <f>"Utility Revenue Meter - "&amp;'4. Blower Fan Watt Draw'!B24</f>
        <v>Utility Revenue Meter - Blower fan watt draw at operating conditions (Wfan)</v>
      </c>
      <c r="D385" s="141" t="e">
        <f>'4. Blower Fan Watt Draw'!H24</f>
        <v>#DIV/0!</v>
      </c>
      <c r="E385" s="141" t="str">
        <f>'4. Blower Fan Watt Draw'!I24</f>
        <v>Watts</v>
      </c>
      <c r="F385" s="141" t="str">
        <f>'4. Blower Fan Watt Draw'!J24</f>
        <v>7.6.2.5</v>
      </c>
      <c r="H385" s="191"/>
      <c r="I385" s="191"/>
      <c r="J385" s="191"/>
      <c r="K385" s="191"/>
      <c r="L385" s="191"/>
      <c r="M385" s="191"/>
      <c r="N385" s="191"/>
      <c r="O385" s="191"/>
      <c r="P385" s="191"/>
      <c r="Q385" s="191"/>
      <c r="R385" s="191"/>
      <c r="S385" s="191"/>
      <c r="T385" s="191"/>
      <c r="U385" s="191"/>
      <c r="V385" s="191"/>
      <c r="W385" s="191"/>
      <c r="X385" s="191"/>
      <c r="Y385" s="191"/>
      <c r="Z385" s="191"/>
    </row>
    <row r="386" spans="2:26" s="193" customFormat="1" x14ac:dyDescent="0.25">
      <c r="B386" s="143" t="str">
        <f t="shared" ca="1" si="10"/>
        <v>4. Blower Fan Watt Draw</v>
      </c>
      <c r="C386" s="201" t="str">
        <f>"Digital Utility Revenue Meter - "&amp;'4. Blower Fan Watt Draw'!B27</f>
        <v>Digital Utility Revenue Meter - Enter Wfan, watt draw of blower fan</v>
      </c>
      <c r="D386" s="96">
        <f>'4. Blower Fan Watt Draw'!H27</f>
        <v>0</v>
      </c>
      <c r="E386" s="96" t="str">
        <f>'4. Blower Fan Watt Draw'!I27</f>
        <v>Watts</v>
      </c>
      <c r="F386" s="96" t="str">
        <f>'4. Blower Fan Watt Draw'!J27</f>
        <v>7.7.2.3</v>
      </c>
      <c r="H386" s="191"/>
      <c r="I386" s="191"/>
      <c r="J386" s="191"/>
      <c r="K386" s="191"/>
      <c r="L386" s="191"/>
      <c r="M386" s="191"/>
      <c r="N386" s="191"/>
      <c r="O386" s="191"/>
      <c r="P386" s="191"/>
      <c r="Q386" s="191"/>
      <c r="R386" s="191"/>
      <c r="S386" s="191"/>
      <c r="T386" s="191"/>
      <c r="U386" s="191"/>
      <c r="V386" s="191"/>
      <c r="W386" s="191"/>
      <c r="X386" s="191"/>
      <c r="Y386" s="191"/>
      <c r="Z386" s="191"/>
    </row>
    <row r="387" spans="2:26" s="193" customFormat="1" x14ac:dyDescent="0.25">
      <c r="B387" s="143" t="str">
        <f t="shared" ca="1" si="10"/>
        <v>4. Blower Fan Watt Draw</v>
      </c>
      <c r="C387" s="210" t="str">
        <f>'4. Blower Fan Watt Draw'!B30</f>
        <v>Blower fan airflow</v>
      </c>
      <c r="D387" s="147">
        <f>'4. Blower Fan Watt Draw'!H30</f>
        <v>0</v>
      </c>
      <c r="E387" s="147" t="str">
        <f>'4. Blower Fan Watt Draw'!I30</f>
        <v>CFM</v>
      </c>
      <c r="F387" s="147" t="str">
        <f>'4. Blower Fan Watt Draw'!J30</f>
        <v>7.8.1</v>
      </c>
      <c r="H387" s="191"/>
      <c r="I387" s="191"/>
      <c r="J387" s="191"/>
      <c r="K387" s="191"/>
      <c r="L387" s="191"/>
      <c r="M387" s="191"/>
      <c r="N387" s="191"/>
      <c r="O387" s="191"/>
      <c r="P387" s="191"/>
      <c r="Q387" s="191"/>
      <c r="R387" s="191"/>
      <c r="S387" s="191"/>
      <c r="T387" s="191"/>
      <c r="U387" s="191"/>
      <c r="V387" s="191"/>
      <c r="W387" s="191"/>
      <c r="X387" s="191"/>
      <c r="Y387" s="191"/>
      <c r="Z387" s="191"/>
    </row>
    <row r="388" spans="2:26" s="193" customFormat="1" x14ac:dyDescent="0.25">
      <c r="B388" s="143" t="str">
        <f t="shared" ca="1" si="10"/>
        <v>4. Blower Fan Watt Draw</v>
      </c>
      <c r="C388" s="210" t="str">
        <f>'4. Blower Fan Watt Draw'!B31</f>
        <v>Final Blower fan watt draw at operating conditions (Wfan)</v>
      </c>
      <c r="D388" s="147" t="str">
        <f>'4. Blower Fan Watt Draw'!H31</f>
        <v>Prereq Not Met</v>
      </c>
      <c r="E388" s="147" t="str">
        <f>'4. Blower Fan Watt Draw'!I31</f>
        <v>Watts</v>
      </c>
      <c r="F388" s="192" t="s">
        <v>310</v>
      </c>
      <c r="H388" s="191"/>
      <c r="I388" s="191"/>
      <c r="J388" s="191"/>
      <c r="K388" s="191"/>
      <c r="L388" s="191"/>
      <c r="M388" s="191"/>
      <c r="N388" s="191"/>
      <c r="O388" s="191"/>
      <c r="P388" s="191"/>
      <c r="Q388" s="191"/>
      <c r="R388" s="191"/>
      <c r="S388" s="191"/>
      <c r="T388" s="191"/>
      <c r="U388" s="191"/>
      <c r="V388" s="191"/>
      <c r="W388" s="191"/>
      <c r="X388" s="191"/>
      <c r="Y388" s="191"/>
      <c r="Z388" s="191"/>
    </row>
    <row r="389" spans="2:26" s="193" customFormat="1" x14ac:dyDescent="0.25">
      <c r="B389" s="143" t="str">
        <f t="shared" ca="1" si="10"/>
        <v>4. Blower Fan Watt Draw</v>
      </c>
      <c r="C389" s="211" t="str">
        <f>'4. Blower Fan Watt Draw'!B32</f>
        <v>Blower fan efficiency</v>
      </c>
      <c r="D389" s="148" t="str">
        <f>'4. Blower Fan Watt Draw'!H32</f>
        <v>Prereq Not Met</v>
      </c>
      <c r="E389" s="148" t="str">
        <f>'4. Blower Fan Watt Draw'!I32</f>
        <v>W / CFM</v>
      </c>
      <c r="F389" s="148" t="str">
        <f>'4. Blower Fan Watt Draw'!J32</f>
        <v>7.8.1</v>
      </c>
      <c r="H389" s="191"/>
      <c r="I389" s="191"/>
      <c r="J389" s="191"/>
      <c r="K389" s="191"/>
      <c r="L389" s="191"/>
      <c r="M389" s="191"/>
      <c r="N389" s="191"/>
      <c r="O389" s="191"/>
      <c r="P389" s="191"/>
      <c r="Q389" s="191"/>
      <c r="R389" s="191"/>
      <c r="S389" s="191"/>
      <c r="T389" s="191"/>
      <c r="U389" s="191"/>
      <c r="V389" s="191"/>
      <c r="W389" s="191"/>
      <c r="X389" s="191"/>
      <c r="Y389" s="191"/>
      <c r="Z389" s="191"/>
    </row>
    <row r="390" spans="2:26" s="193" customFormat="1" x14ac:dyDescent="0.25">
      <c r="B390" s="143" t="str">
        <f t="shared" ca="1" si="10"/>
        <v>4. Blower Fan Watt Draw</v>
      </c>
      <c r="C390" s="199" t="str">
        <f>'4. Blower Fan Watt Draw'!B33</f>
        <v>Blower fan watt draw grade</v>
      </c>
      <c r="D390" s="141" t="str">
        <f>'4. Blower Fan Watt Draw'!H33</f>
        <v>Grade III</v>
      </c>
      <c r="E390" s="192" t="s">
        <v>310</v>
      </c>
      <c r="F390" s="141" t="str">
        <f>'4. Blower Fan Watt Draw'!J33</f>
        <v>7.8.2</v>
      </c>
      <c r="H390" s="191"/>
      <c r="I390" s="191"/>
      <c r="J390" s="191"/>
      <c r="K390" s="191"/>
      <c r="L390" s="191"/>
      <c r="M390" s="191"/>
      <c r="N390" s="191"/>
      <c r="O390" s="191"/>
      <c r="P390" s="191"/>
      <c r="Q390" s="191"/>
      <c r="R390" s="191"/>
      <c r="S390" s="191"/>
      <c r="T390" s="191"/>
      <c r="U390" s="191"/>
      <c r="V390" s="191"/>
      <c r="W390" s="191"/>
      <c r="X390" s="191"/>
      <c r="Y390" s="191"/>
      <c r="Z390" s="191"/>
    </row>
    <row r="391" spans="2:26" s="193" customFormat="1" x14ac:dyDescent="0.25">
      <c r="B391" s="143" t="str">
        <f t="shared" ca="1" si="10"/>
        <v>5. Refrigerant Charge</v>
      </c>
      <c r="C391" s="199" t="str">
        <f>'5. Refrigerant Charge'!B4</f>
        <v>Did blower fan airflow achieve Grade I or II designation?</v>
      </c>
      <c r="D391" s="141" t="str">
        <f>'5. Refrigerant Charge'!H4</f>
        <v>No</v>
      </c>
      <c r="E391" s="192" t="s">
        <v>310</v>
      </c>
      <c r="F391" s="141" t="str">
        <f>'5. Refrigerant Charge'!J4</f>
        <v>8.2.1</v>
      </c>
      <c r="H391" s="191"/>
      <c r="I391" s="191"/>
      <c r="J391" s="191"/>
      <c r="K391" s="191"/>
      <c r="L391" s="191"/>
      <c r="M391" s="191"/>
      <c r="N391" s="191"/>
      <c r="O391" s="191"/>
      <c r="P391" s="191"/>
      <c r="Q391" s="191"/>
      <c r="R391" s="191"/>
      <c r="S391" s="191"/>
      <c r="T391" s="191"/>
      <c r="U391" s="191"/>
      <c r="V391" s="191"/>
      <c r="W391" s="191"/>
      <c r="X391" s="191"/>
      <c r="Y391" s="191"/>
      <c r="Z391" s="191"/>
    </row>
    <row r="392" spans="2:26" s="193" customFormat="1" x14ac:dyDescent="0.25">
      <c r="B392" s="143" t="str">
        <f t="shared" ca="1" si="10"/>
        <v>5. Refrigerant Charge</v>
      </c>
      <c r="C392" s="202" t="str">
        <f>'5. Refrigerant Charge'!B7</f>
        <v>For Non-Invasive Method, enter measured outdoor air dry-bulb temperature</v>
      </c>
      <c r="D392" s="97">
        <f>'5. Refrigerant Charge'!H7</f>
        <v>0</v>
      </c>
      <c r="E392" s="97" t="str">
        <f>'5. Refrigerant Charge'!I7</f>
        <v>F</v>
      </c>
      <c r="F392" s="97" t="str">
        <f>'5. Refrigerant Charge'!J7</f>
        <v>8.3.2.1.1</v>
      </c>
      <c r="H392" s="191"/>
      <c r="I392" s="191"/>
      <c r="J392" s="191"/>
      <c r="K392" s="191"/>
      <c r="L392" s="191"/>
      <c r="M392" s="191"/>
      <c r="N392" s="191"/>
      <c r="O392" s="191"/>
      <c r="P392" s="191"/>
      <c r="Q392" s="191"/>
      <c r="R392" s="191"/>
      <c r="S392" s="191"/>
      <c r="T392" s="191"/>
      <c r="U392" s="191"/>
      <c r="V392" s="191"/>
      <c r="W392" s="191"/>
      <c r="X392" s="191"/>
      <c r="Y392" s="191"/>
      <c r="Z392" s="191"/>
    </row>
    <row r="393" spans="2:26" s="193" customFormat="1" x14ac:dyDescent="0.25">
      <c r="B393" s="143" t="str">
        <f t="shared" ca="1" si="10"/>
        <v>5. Refrigerant Charge</v>
      </c>
      <c r="C393" s="202" t="str">
        <f>'5. Refrigerant Charge'!B8</f>
        <v>For Non-Invasive Method, enter forced-air HVAC system type</v>
      </c>
      <c r="D393" s="97" t="str">
        <f>'5. Refrigerant Charge'!H8</f>
        <v>Other</v>
      </c>
      <c r="E393" s="192" t="s">
        <v>310</v>
      </c>
      <c r="F393" s="97" t="str">
        <f>'5. Refrigerant Charge'!J8</f>
        <v>8.3.2.1.2</v>
      </c>
      <c r="H393" s="191"/>
      <c r="I393" s="191"/>
      <c r="J393" s="191"/>
      <c r="K393" s="191"/>
      <c r="L393" s="191"/>
      <c r="M393" s="191"/>
      <c r="N393" s="191"/>
      <c r="O393" s="191"/>
      <c r="P393" s="191"/>
      <c r="Q393" s="191"/>
      <c r="R393" s="191"/>
      <c r="S393" s="191"/>
      <c r="T393" s="191"/>
      <c r="U393" s="191"/>
      <c r="V393" s="191"/>
      <c r="W393" s="191"/>
      <c r="X393" s="191"/>
      <c r="Y393" s="191"/>
      <c r="Z393" s="191"/>
    </row>
    <row r="394" spans="2:26" s="193" customFormat="1" x14ac:dyDescent="0.25">
      <c r="B394" s="143" t="str">
        <f t="shared" ca="1" si="10"/>
        <v>5. Refrigerant Charge</v>
      </c>
      <c r="C394" s="202" t="str">
        <f>'5. Refrigerant Charge'!B9</f>
        <v>For Non-Invasive Method, enter equipment rated SEER</v>
      </c>
      <c r="D394" s="97">
        <f>'5. Refrigerant Charge'!H9</f>
        <v>0</v>
      </c>
      <c r="E394" s="97" t="str">
        <f>'5. Refrigerant Charge'!I9</f>
        <v>SEER</v>
      </c>
      <c r="F394" s="97" t="str">
        <f>'5. Refrigerant Charge'!J9</f>
        <v>8.3.2.1.3</v>
      </c>
      <c r="H394" s="191"/>
      <c r="I394" s="191"/>
      <c r="J394" s="191"/>
      <c r="K394" s="191"/>
      <c r="L394" s="191"/>
      <c r="M394" s="191"/>
      <c r="N394" s="191"/>
      <c r="O394" s="191"/>
      <c r="P394" s="191"/>
      <c r="Q394" s="191"/>
      <c r="R394" s="191"/>
      <c r="S394" s="191"/>
      <c r="T394" s="191"/>
      <c r="U394" s="191"/>
      <c r="V394" s="191"/>
      <c r="W394" s="191"/>
      <c r="X394" s="191"/>
      <c r="Y394" s="191"/>
      <c r="Z394" s="191"/>
    </row>
    <row r="395" spans="2:26" s="193" customFormat="1" x14ac:dyDescent="0.25">
      <c r="B395" s="143" t="str">
        <f t="shared" ca="1" si="10"/>
        <v>5. Refrigerant Charge</v>
      </c>
      <c r="C395" s="199" t="str">
        <f>'5. Refrigerant Charge'!B10</f>
        <v>Have prerequisites been met to use Non-Invasive Method?</v>
      </c>
      <c r="D395" s="141" t="str">
        <f>'5. Refrigerant Charge'!H10</f>
        <v>No</v>
      </c>
      <c r="E395" s="192" t="s">
        <v>310</v>
      </c>
      <c r="F395" s="141" t="str">
        <f>'5. Refrigerant Charge'!J10</f>
        <v>8.3.2.1.4</v>
      </c>
      <c r="H395" s="191"/>
      <c r="I395" s="191"/>
      <c r="J395" s="191"/>
      <c r="K395" s="191"/>
      <c r="L395" s="191"/>
      <c r="M395" s="191"/>
      <c r="N395" s="191"/>
      <c r="O395" s="191"/>
      <c r="P395" s="191"/>
      <c r="Q395" s="191"/>
      <c r="R395" s="191"/>
      <c r="S395" s="191"/>
      <c r="T395" s="191"/>
      <c r="U395" s="191"/>
      <c r="V395" s="191"/>
      <c r="W395" s="191"/>
      <c r="X395" s="191"/>
      <c r="Y395" s="191"/>
      <c r="Z395" s="191"/>
    </row>
    <row r="396" spans="2:26" s="193" customFormat="1" x14ac:dyDescent="0.25">
      <c r="B396" s="143" t="str">
        <f t="shared" ca="1" si="10"/>
        <v>5. Refrigerant Charge</v>
      </c>
      <c r="C396" s="199" t="str">
        <f>'5. Refrigerant Charge'!B11</f>
        <v>Select test method</v>
      </c>
      <c r="D396" s="141" t="str">
        <f>'5. Refrigerant Charge'!H11</f>
        <v>Weigh-In</v>
      </c>
      <c r="E396" s="192" t="s">
        <v>310</v>
      </c>
      <c r="F396" s="141">
        <f>'5. Refrigerant Charge'!J11</f>
        <v>8.3000000000000007</v>
      </c>
      <c r="H396" s="196"/>
      <c r="I396" s="191"/>
      <c r="J396" s="191"/>
      <c r="K396" s="191"/>
      <c r="L396" s="191"/>
      <c r="M396" s="191"/>
      <c r="N396" s="191"/>
      <c r="O396" s="191"/>
      <c r="P396" s="191"/>
      <c r="Q396" s="191"/>
      <c r="R396" s="191"/>
      <c r="S396" s="191"/>
      <c r="T396" s="191"/>
      <c r="U396" s="191"/>
      <c r="V396" s="191"/>
      <c r="W396" s="191"/>
      <c r="X396" s="191"/>
      <c r="Y396" s="191"/>
      <c r="Z396" s="191"/>
    </row>
    <row r="397" spans="2:26" s="193" customFormat="1" x14ac:dyDescent="0.25">
      <c r="B397" s="143" t="str">
        <f t="shared" ref="B397:B447" ca="1" si="11">MID(CELL("filename",INDIRECT(RIGHT(_xlfn.FORMULATEXT(D397),LEN(_xlfn.FORMULATEXT(D397))-1),TRUE)),FIND("]",CELL("filename",INDIRECT(RIGHT(_xlfn.FORMULATEXT(D397),LEN(_xlfn.FORMULATEXT(D397))-1),TRUE)))+1,255)</f>
        <v>5. Refrigerant Charge</v>
      </c>
      <c r="C397" s="201" t="str">
        <f>"Non-Invasive Method - "&amp;'5. Refrigerant Charge'!B15</f>
        <v>Non-Invasive Method - Dwelling and forced-air HVAC system set up per Section 8.4.1?</v>
      </c>
      <c r="D397" s="96" t="str">
        <f>'5. Refrigerant Charge'!H15</f>
        <v>Yes</v>
      </c>
      <c r="E397" s="192" t="s">
        <v>310</v>
      </c>
      <c r="F397" s="192" t="str">
        <f>'5. Refrigerant Charge'!J15</f>
        <v>8.4.1</v>
      </c>
      <c r="H397" s="197"/>
    </row>
    <row r="398" spans="2:26" s="193" customFormat="1" x14ac:dyDescent="0.25">
      <c r="B398" s="143" t="str">
        <f t="shared" ca="1" si="11"/>
        <v>5. Refrigerant Charge</v>
      </c>
      <c r="C398" s="202" t="str">
        <f>"Non-Invasive Method - "&amp;'5. Refrigerant Charge'!B18</f>
        <v>Non-Invasive Method - Enter design cooling blower fan volumetric airflow</v>
      </c>
      <c r="D398" s="97">
        <f>'5. Refrigerant Charge'!H18</f>
        <v>0</v>
      </c>
      <c r="E398" s="192" t="str">
        <f>'5. Refrigerant Charge'!I18</f>
        <v>CFM</v>
      </c>
      <c r="F398" s="192" t="str">
        <f>'5. Refrigerant Charge'!J18</f>
        <v>8.4.3.8.1</v>
      </c>
    </row>
    <row r="399" spans="2:26" s="193" customFormat="1" x14ac:dyDescent="0.25">
      <c r="B399" s="143" t="str">
        <f t="shared" ca="1" si="11"/>
        <v>5. Refrigerant Charge</v>
      </c>
      <c r="C399" s="202" t="str">
        <f>"Non-Invasive Method - "&amp;'5. Refrigerant Charge'!B19</f>
        <v>Non-Invasive Method - Enter maximum total heat gain</v>
      </c>
      <c r="D399" s="97">
        <f>'5. Refrigerant Charge'!H19</f>
        <v>0</v>
      </c>
      <c r="E399" s="192" t="str">
        <f>'5. Refrigerant Charge'!I19</f>
        <v>BTU/hr</v>
      </c>
      <c r="F399" s="192" t="str">
        <f>'5. Refrigerant Charge'!J19</f>
        <v>8.4.3.8.1</v>
      </c>
    </row>
    <row r="400" spans="2:26" s="193" customFormat="1" x14ac:dyDescent="0.25">
      <c r="B400" s="143" t="str">
        <f t="shared" ca="1" si="11"/>
        <v>5. Refrigerant Charge</v>
      </c>
      <c r="C400" s="201" t="str">
        <f>"Non-Invasive Method - "&amp;'5. Refrigerant Charge'!B20</f>
        <v>Non-Invasive Method - Enter metering device</v>
      </c>
      <c r="D400" s="96" t="str">
        <f>'5. Refrigerant Charge'!H20</f>
        <v>Piston/Cap. Tube</v>
      </c>
      <c r="E400" s="192" t="s">
        <v>310</v>
      </c>
      <c r="F400" s="192" t="str">
        <f>'5. Refrigerant Charge'!J20</f>
        <v>8.4.3.9</v>
      </c>
    </row>
    <row r="401" spans="2:6" s="193" customFormat="1" x14ac:dyDescent="0.25">
      <c r="B401" s="143" t="str">
        <f t="shared" ca="1" si="11"/>
        <v>5. Refrigerant Charge</v>
      </c>
      <c r="C401" s="201" t="str">
        <f>"Non-Invasive Method - "&amp;'5. Refrigerant Charge'!B21</f>
        <v>Non-Invasive Method - If metering device is TXV/EEV, then enter Target Subcooling</v>
      </c>
      <c r="D401" s="96">
        <f>'5. Refrigerant Charge'!H21</f>
        <v>0</v>
      </c>
      <c r="E401" s="192" t="str">
        <f>'5. Refrigerant Charge'!I21</f>
        <v>F</v>
      </c>
      <c r="F401" s="192" t="str">
        <f>'5. Refrigerant Charge'!J21</f>
        <v>8.4.3.10.1</v>
      </c>
    </row>
    <row r="402" spans="2:6" s="193" customFormat="1" x14ac:dyDescent="0.25">
      <c r="B402" s="143" t="str">
        <f t="shared" ca="1" si="11"/>
        <v>5. Refrigerant Charge</v>
      </c>
      <c r="C402" s="201" t="str">
        <f>"Non-Invasive Method - "&amp;'5. Refrigerant Charge'!B24</f>
        <v>Non-Invasive Method - Enter measured return air dry-bulb temperature</v>
      </c>
      <c r="D402" s="96">
        <f>'5. Refrigerant Charge'!H24</f>
        <v>0</v>
      </c>
      <c r="E402" s="192" t="str">
        <f>'5. Refrigerant Charge'!I24</f>
        <v>F</v>
      </c>
      <c r="F402" s="192" t="str">
        <f>'5. Refrigerant Charge'!J24</f>
        <v>8.4.3.3</v>
      </c>
    </row>
    <row r="403" spans="2:6" s="193" customFormat="1" x14ac:dyDescent="0.25">
      <c r="B403" s="143" t="str">
        <f t="shared" ca="1" si="11"/>
        <v>5. Refrigerant Charge</v>
      </c>
      <c r="C403" s="201" t="str">
        <f>"Non-Invasive Method - "&amp;'5. Refrigerant Charge'!B25</f>
        <v>Non-Invasive Method - Enter measured return air wet-bulb temperature</v>
      </c>
      <c r="D403" s="96">
        <f>'5. Refrigerant Charge'!H25</f>
        <v>0</v>
      </c>
      <c r="E403" s="192" t="str">
        <f>'5. Refrigerant Charge'!I25</f>
        <v>F</v>
      </c>
      <c r="F403" s="192" t="str">
        <f>'5. Refrigerant Charge'!J25</f>
        <v>8.4.3.3</v>
      </c>
    </row>
    <row r="404" spans="2:6" s="193" customFormat="1" x14ac:dyDescent="0.25">
      <c r="B404" s="143" t="str">
        <f t="shared" ca="1" si="11"/>
        <v>5. Refrigerant Charge</v>
      </c>
      <c r="C404" s="199" t="str">
        <f>"Non-Invasive Method - "&amp;'5. Refrigerant Charge'!B26</f>
        <v xml:space="preserve">Non-Invasive Method - Return air temperature measurements meet criteria? </v>
      </c>
      <c r="D404" s="141" t="str">
        <f>'5. Refrigerant Charge'!H26</f>
        <v>No</v>
      </c>
      <c r="E404" s="192" t="s">
        <v>310</v>
      </c>
      <c r="F404" s="192" t="str">
        <f>'5. Refrigerant Charge'!J26</f>
        <v>8.4.3.5</v>
      </c>
    </row>
    <row r="405" spans="2:6" s="193" customFormat="1" x14ac:dyDescent="0.25">
      <c r="B405" s="143" t="str">
        <f t="shared" ca="1" si="11"/>
        <v>5. Refrigerant Charge</v>
      </c>
      <c r="C405" s="201" t="str">
        <f>"Non-Invasive Method - "&amp;'5. Refrigerant Charge'!B27</f>
        <v>Non-Invasive Method - Enter measured outdoor air dry-bulb temperature</v>
      </c>
      <c r="D405" s="96">
        <f>'5. Refrigerant Charge'!H27</f>
        <v>0</v>
      </c>
      <c r="E405" s="192" t="str">
        <f>'5. Refrigerant Charge'!I27</f>
        <v>F</v>
      </c>
      <c r="F405" s="192" t="str">
        <f>'5. Refrigerant Charge'!J27</f>
        <v>8.4.3.6.1</v>
      </c>
    </row>
    <row r="406" spans="2:6" s="193" customFormat="1" x14ac:dyDescent="0.25">
      <c r="B406" s="143" t="str">
        <f t="shared" ca="1" si="11"/>
        <v>5. Refrigerant Charge</v>
      </c>
      <c r="C406" s="199" t="str">
        <f>"Non-Invasive Method - "&amp;'5. Refrigerant Charge'!B28</f>
        <v xml:space="preserve">Non-Invasive Method - Outdoor air temperature measurement meets criteria? </v>
      </c>
      <c r="D406" s="141" t="str">
        <f>'5. Refrigerant Charge'!H28</f>
        <v>No</v>
      </c>
      <c r="E406" s="192" t="s">
        <v>310</v>
      </c>
      <c r="F406" s="192" t="str">
        <f>'5. Refrigerant Charge'!J28</f>
        <v>8.4.3.6.1</v>
      </c>
    </row>
    <row r="407" spans="2:6" s="193" customFormat="1" x14ac:dyDescent="0.25">
      <c r="B407" s="143" t="str">
        <f t="shared" ca="1" si="11"/>
        <v>5. Refrigerant Charge</v>
      </c>
      <c r="C407" s="201" t="str">
        <f>"Non-Invasive Method - "&amp;'5. Refrigerant Charge'!B29</f>
        <v>Non-Invasive Method - Enter measured suction line temperature</v>
      </c>
      <c r="D407" s="96">
        <f>'5. Refrigerant Charge'!H29</f>
        <v>0</v>
      </c>
      <c r="E407" s="192" t="str">
        <f>'5. Refrigerant Charge'!I29</f>
        <v>F</v>
      </c>
      <c r="F407" s="192" t="str">
        <f>'5. Refrigerant Charge'!J29</f>
        <v>8.4.3.6.2</v>
      </c>
    </row>
    <row r="408" spans="2:6" s="193" customFormat="1" x14ac:dyDescent="0.25">
      <c r="B408" s="143" t="str">
        <f t="shared" ca="1" si="11"/>
        <v>5. Refrigerant Charge</v>
      </c>
      <c r="C408" s="201" t="str">
        <f>"Non-Invasive Method - "&amp;'5. Refrigerant Charge'!B30</f>
        <v>Non-Invasive Method - Enter measured liquid line temperature</v>
      </c>
      <c r="D408" s="96">
        <f>'5. Refrigerant Charge'!H30</f>
        <v>0</v>
      </c>
      <c r="E408" s="192" t="str">
        <f>'5. Refrigerant Charge'!I30</f>
        <v>F</v>
      </c>
      <c r="F408" s="192" t="str">
        <f>'5. Refrigerant Charge'!J30</f>
        <v>8.4.3.6.3</v>
      </c>
    </row>
    <row r="409" spans="2:6" s="193" customFormat="1" x14ac:dyDescent="0.25">
      <c r="B409" s="143" t="str">
        <f t="shared" ca="1" si="11"/>
        <v>5. Refrigerant Charge</v>
      </c>
      <c r="C409" s="201" t="str">
        <f>"Non-Invasive Method - "&amp;'5. Refrigerant Charge'!B31</f>
        <v>Non-Invasive Method - If metering device is Piston/Capillary Tube, then enter Target Superheat using OEM superheat chart or Std 310 Appendix B, for the given return air wet-bulb temp and outdoor air dry-bulb temp</v>
      </c>
      <c r="D409" s="96">
        <f>'5. Refrigerant Charge'!H31</f>
        <v>0</v>
      </c>
      <c r="E409" s="192" t="str">
        <f>'5. Refrigerant Charge'!I31</f>
        <v>F</v>
      </c>
      <c r="F409" s="192" t="str">
        <f>'5. Refrigerant Charge'!J31</f>
        <v>8.4.3.9.1</v>
      </c>
    </row>
    <row r="410" spans="2:6" s="193" customFormat="1" x14ac:dyDescent="0.25">
      <c r="B410" s="143" t="str">
        <f t="shared" ca="1" si="11"/>
        <v>5. Refrigerant Charge</v>
      </c>
      <c r="C410" s="201" t="str">
        <f>"Non-Invasive Method - "&amp;'5. Refrigerant Charge'!B36</f>
        <v xml:space="preserve">Non-Invasive Method - Did contractor provide site-specific installation values? </v>
      </c>
      <c r="D410" s="96" t="str">
        <f>'5. Refrigerant Charge'!H36</f>
        <v>No</v>
      </c>
      <c r="E410" s="192" t="s">
        <v>310</v>
      </c>
      <c r="F410" s="192" t="s">
        <v>310</v>
      </c>
    </row>
    <row r="411" spans="2:6" s="193" customFormat="1" x14ac:dyDescent="0.25">
      <c r="B411" s="143" t="str">
        <f t="shared" ca="1" si="11"/>
        <v>5. Refrigerant Charge</v>
      </c>
      <c r="C411" s="201" t="str">
        <f>"Non-Invasive Method - "&amp;'5. Refrigerant Charge'!B37</f>
        <v>Non-Invasive Method - If Yes, enter their return air dry bulb temperature</v>
      </c>
      <c r="D411" s="96">
        <f>'5. Refrigerant Charge'!H37</f>
        <v>0</v>
      </c>
      <c r="E411" s="192" t="str">
        <f>'5. Refrigerant Charge'!I37</f>
        <v>F</v>
      </c>
      <c r="F411" s="192" t="str">
        <f>'5. Refrigerant Charge'!J37</f>
        <v>8.4.3.8.3</v>
      </c>
    </row>
    <row r="412" spans="2:6" s="193" customFormat="1" x14ac:dyDescent="0.25">
      <c r="B412" s="143" t="str">
        <f t="shared" ca="1" si="11"/>
        <v>5. Refrigerant Charge</v>
      </c>
      <c r="C412" s="201" t="str">
        <f>"Non-Invasive Method - "&amp;'5. Refrigerant Charge'!B38</f>
        <v>Non-Invasive Method - If Yes, enter their suction line saturation temperature</v>
      </c>
      <c r="D412" s="96">
        <f>'5. Refrigerant Charge'!H38</f>
        <v>0</v>
      </c>
      <c r="E412" s="192" t="str">
        <f>'5. Refrigerant Charge'!I38</f>
        <v>F</v>
      </c>
      <c r="F412" s="192" t="str">
        <f>'5. Refrigerant Charge'!J38</f>
        <v>8.4.3.8.3</v>
      </c>
    </row>
    <row r="413" spans="2:6" s="193" customFormat="1" x14ac:dyDescent="0.25">
      <c r="B413" s="143" t="str">
        <f t="shared" ca="1" si="11"/>
        <v>5. Refrigerant Charge</v>
      </c>
      <c r="C413" s="201" t="str">
        <f>"Non-Invasive Method - "&amp;'5. Refrigerant Charge'!B40</f>
        <v>Non-Invasive Method - Their outdoor air dry bulb temperature</v>
      </c>
      <c r="D413" s="96">
        <f>'5. Refrigerant Charge'!H40</f>
        <v>0</v>
      </c>
      <c r="E413" s="192" t="str">
        <f>'5. Refrigerant Charge'!I40</f>
        <v>F</v>
      </c>
      <c r="F413" s="192" t="str">
        <f>'5. Refrigerant Charge'!J40</f>
        <v>8.4.3.10.2.2</v>
      </c>
    </row>
    <row r="414" spans="2:6" s="193" customFormat="1" x14ac:dyDescent="0.25">
      <c r="B414" s="143" t="str">
        <f t="shared" ca="1" si="11"/>
        <v>5. Refrigerant Charge</v>
      </c>
      <c r="C414" s="201" t="str">
        <f>"Non-Invasive Method - "&amp;'5. Refrigerant Charge'!B41</f>
        <v>Non-Invasive Method - Their liquid line condensing temperature</v>
      </c>
      <c r="D414" s="96">
        <f>'5. Refrigerant Charge'!H41</f>
        <v>0</v>
      </c>
      <c r="E414" s="192" t="str">
        <f>'5. Refrigerant Charge'!I41</f>
        <v>F</v>
      </c>
      <c r="F414" s="192" t="str">
        <f>'5. Refrigerant Charge'!J41</f>
        <v>8.4.3.10.2.2</v>
      </c>
    </row>
    <row r="415" spans="2:6" s="193" customFormat="1" x14ac:dyDescent="0.25">
      <c r="B415" s="143" t="str">
        <f t="shared" ca="1" si="11"/>
        <v>5. Refrigerant Charge</v>
      </c>
      <c r="C415" s="199" t="str">
        <f>"Non-Invasive Method - "&amp;'5. Refrigerant Charge'!B44</f>
        <v>Non-Invasive Method - Qnorm - normalized airflow</v>
      </c>
      <c r="D415" s="141" t="e">
        <f>'5. Refrigerant Charge'!H44</f>
        <v>#DIV/0!</v>
      </c>
      <c r="E415" s="192" t="str">
        <f>'5. Refrigerant Charge'!I44</f>
        <v>CFM</v>
      </c>
      <c r="F415" s="192" t="str">
        <f>'5. Refrigerant Charge'!J44</f>
        <v>8.4.3.8.1</v>
      </c>
    </row>
    <row r="416" spans="2:6" s="193" customFormat="1" x14ac:dyDescent="0.25">
      <c r="B416" s="143" t="str">
        <f t="shared" ca="1" si="11"/>
        <v>5. Refrigerant Charge</v>
      </c>
      <c r="C416" s="212" t="str">
        <f>"Non-Invasive Method - "&amp;'5. Refrigerant Charge'!B45</f>
        <v>Non-Invasive Method - DTD - Design Temp Difference</v>
      </c>
      <c r="D416" s="149" t="e">
        <f>'5. Refrigerant Charge'!H45</f>
        <v>#DIV/0!</v>
      </c>
      <c r="E416" s="192" t="str">
        <f>'5. Refrigerant Charge'!I45</f>
        <v>F</v>
      </c>
      <c r="F416" s="192" t="str">
        <f>'5. Refrigerant Charge'!J45</f>
        <v>8.4.3.8.4</v>
      </c>
    </row>
    <row r="417" spans="2:6" s="193" customFormat="1" x14ac:dyDescent="0.25">
      <c r="B417" s="143" t="str">
        <f t="shared" ca="1" si="11"/>
        <v>5. Refrigerant Charge</v>
      </c>
      <c r="C417" s="199" t="str">
        <f>"Non-Invasive Method - "&amp;'5. Refrigerant Charge'!B48</f>
        <v>Non-Invasive Method - Min liquid line temp</v>
      </c>
      <c r="D417" s="141">
        <f>'5. Refrigerant Charge'!H48</f>
        <v>3</v>
      </c>
      <c r="E417" s="192" t="str">
        <f>'5. Refrigerant Charge'!I48</f>
        <v>F</v>
      </c>
      <c r="F417" s="192" t="str">
        <f>'5. Refrigerant Charge'!J48</f>
        <v>8.4.3.9.2</v>
      </c>
    </row>
    <row r="418" spans="2:6" s="193" customFormat="1" x14ac:dyDescent="0.25">
      <c r="B418" s="143" t="str">
        <f t="shared" ca="1" si="11"/>
        <v>5. Refrigerant Charge</v>
      </c>
      <c r="C418" s="199" t="str">
        <f>"Non-Invasive Method - "&amp;'5. Refrigerant Charge'!B49</f>
        <v>Non-Invasive Method - Max liquid line temp</v>
      </c>
      <c r="D418" s="141">
        <f>'5. Refrigerant Charge'!H49</f>
        <v>12</v>
      </c>
      <c r="E418" s="192" t="str">
        <f>'5. Refrigerant Charge'!I49</f>
        <v>F</v>
      </c>
      <c r="F418" s="192" t="str">
        <f>'5. Refrigerant Charge'!J49</f>
        <v>8.4.3.9.3</v>
      </c>
    </row>
    <row r="419" spans="2:6" s="193" customFormat="1" x14ac:dyDescent="0.25">
      <c r="B419" s="143" t="str">
        <f t="shared" ca="1" si="11"/>
        <v>5. Refrigerant Charge</v>
      </c>
      <c r="C419" s="199" t="str">
        <f>"Non-Invasive Method - "&amp;'5. Refrigerant Charge'!B50</f>
        <v>Non-Invasive Method - Liquid line within target?</v>
      </c>
      <c r="D419" s="141" t="str">
        <f>'5. Refrigerant Charge'!H50</f>
        <v>No</v>
      </c>
      <c r="E419" s="192" t="s">
        <v>310</v>
      </c>
      <c r="F419" s="192" t="str">
        <f>'5. Refrigerant Charge'!J50</f>
        <v>8.4.3.9.4</v>
      </c>
    </row>
    <row r="420" spans="2:6" s="193" customFormat="1" x14ac:dyDescent="0.25">
      <c r="B420" s="143" t="str">
        <f t="shared" ca="1" si="11"/>
        <v>5. Refrigerant Charge</v>
      </c>
      <c r="C420" s="212" t="str">
        <f>"Non-Invasive Method - "&amp;'5. Refrigerant Charge'!B51</f>
        <v>Non-Invasive Method - Target suction line temp</v>
      </c>
      <c r="D420" s="149" t="str">
        <f>'5. Refrigerant Charge'!H51</f>
        <v>N/A</v>
      </c>
      <c r="E420" s="192" t="str">
        <f>'5. Refrigerant Charge'!I51</f>
        <v>F</v>
      </c>
      <c r="F420" s="192" t="str">
        <f>'5. Refrigerant Charge'!J51</f>
        <v>8.4.3.9.5</v>
      </c>
    </row>
    <row r="421" spans="2:6" s="193" customFormat="1" x14ac:dyDescent="0.25">
      <c r="B421" s="143" t="str">
        <f t="shared" ca="1" si="11"/>
        <v>5. Refrigerant Charge</v>
      </c>
      <c r="C421" s="212" t="str">
        <f>"Non-Invasive Method - "&amp;'5. Refrigerant Charge'!B52</f>
        <v>Non-Invasive Method - Difference DTD - delta btw target &amp; measured suction line temp</v>
      </c>
      <c r="D421" s="149" t="str">
        <f>'5. Refrigerant Charge'!H52</f>
        <v>N/A</v>
      </c>
      <c r="E421" s="192" t="str">
        <f>'5. Refrigerant Charge'!I52</f>
        <v>F</v>
      </c>
      <c r="F421" s="192" t="str">
        <f>'5. Refrigerant Charge'!J52</f>
        <v>8.4.3.9.6</v>
      </c>
    </row>
    <row r="422" spans="2:6" s="193" customFormat="1" x14ac:dyDescent="0.25">
      <c r="B422" s="143" t="str">
        <f t="shared" ca="1" si="11"/>
        <v>5. Refrigerant Charge</v>
      </c>
      <c r="C422" s="199" t="str">
        <f>"Non-Invasive Method - "&amp;'5. Refrigerant Charge'!B55</f>
        <v>Non-Invasive Method - CTOA - Condensing Temp Over Ambient</v>
      </c>
      <c r="D422" s="141">
        <f>'5. Refrigerant Charge'!H55</f>
        <v>30</v>
      </c>
      <c r="E422" s="192" t="str">
        <f>'5. Refrigerant Charge'!I55</f>
        <v>F</v>
      </c>
      <c r="F422" s="192" t="str">
        <f>'5. Refrigerant Charge'!J55</f>
        <v>8.4.3.10.2.3</v>
      </c>
    </row>
    <row r="423" spans="2:6" s="193" customFormat="1" x14ac:dyDescent="0.25">
      <c r="B423" s="143" t="str">
        <f t="shared" ca="1" si="11"/>
        <v>5. Refrigerant Charge</v>
      </c>
      <c r="C423" s="212" t="str">
        <f>"Non-Invasive Method - "&amp;'5. Refrigerant Charge'!B56</f>
        <v>Non-Invasive Method - Min suction line temp</v>
      </c>
      <c r="D423" s="149" t="e">
        <f>'5. Refrigerant Charge'!H56</f>
        <v>#DIV/0!</v>
      </c>
      <c r="E423" s="192" t="str">
        <f>'5. Refrigerant Charge'!I56</f>
        <v>F</v>
      </c>
      <c r="F423" s="192" t="str">
        <f>'5. Refrigerant Charge'!J56</f>
        <v>8.4.3.10.3</v>
      </c>
    </row>
    <row r="424" spans="2:6" s="193" customFormat="1" x14ac:dyDescent="0.25">
      <c r="B424" s="143" t="str">
        <f t="shared" ca="1" si="11"/>
        <v>5. Refrigerant Charge</v>
      </c>
      <c r="C424" s="212" t="str">
        <f>"Non-Invasive Method - "&amp;'5. Refrigerant Charge'!B57</f>
        <v>Non-Invasive Method - Max suction line temp</v>
      </c>
      <c r="D424" s="149" t="e">
        <f>'5. Refrigerant Charge'!H57</f>
        <v>#DIV/0!</v>
      </c>
      <c r="E424" s="192" t="str">
        <f>'5. Refrigerant Charge'!I57</f>
        <v>F</v>
      </c>
      <c r="F424" s="192" t="str">
        <f>'5. Refrigerant Charge'!J57</f>
        <v>8.4.3.10.4</v>
      </c>
    </row>
    <row r="425" spans="2:6" s="193" customFormat="1" x14ac:dyDescent="0.25">
      <c r="B425" s="143" t="str">
        <f t="shared" ca="1" si="11"/>
        <v>5. Refrigerant Charge</v>
      </c>
      <c r="C425" s="199" t="str">
        <f>"Non-Invasive Method - "&amp;'5. Refrigerant Charge'!B58</f>
        <v>Non-Invasive Method - Suction line within target?</v>
      </c>
      <c r="D425" s="141" t="e">
        <f>'5. Refrigerant Charge'!H58</f>
        <v>#DIV/0!</v>
      </c>
      <c r="E425" s="192" t="s">
        <v>310</v>
      </c>
      <c r="F425" s="192" t="str">
        <f>'5. Refrigerant Charge'!J58</f>
        <v>8.4.3.10.5</v>
      </c>
    </row>
    <row r="426" spans="2:6" s="193" customFormat="1" x14ac:dyDescent="0.25">
      <c r="B426" s="143" t="str">
        <f t="shared" ca="1" si="11"/>
        <v>5. Refrigerant Charge</v>
      </c>
      <c r="C426" s="199" t="str">
        <f>"Non-Invasive Method - "&amp;'5. Refrigerant Charge'!B59</f>
        <v>Non-Invasive Method - Target liquid line temp</v>
      </c>
      <c r="D426" s="141">
        <f>'5. Refrigerant Charge'!H59</f>
        <v>30</v>
      </c>
      <c r="E426" s="192" t="str">
        <f>'5. Refrigerant Charge'!I59</f>
        <v>F</v>
      </c>
      <c r="F426" s="192" t="str">
        <f>'5. Refrigerant Charge'!J59</f>
        <v>8.4.3.10.6</v>
      </c>
    </row>
    <row r="427" spans="2:6" s="193" customFormat="1" x14ac:dyDescent="0.25">
      <c r="B427" s="143" t="str">
        <f t="shared" ca="1" si="11"/>
        <v>5. Refrigerant Charge</v>
      </c>
      <c r="C427" s="199" t="str">
        <f>"Non-Invasive Method - "&amp;'5. Refrigerant Charge'!B60</f>
        <v>Non-Invasive Method - DifferenceCTOA - delta btw target &amp; measured liquid line temp</v>
      </c>
      <c r="D427" s="141">
        <f>'5. Refrigerant Charge'!H60</f>
        <v>30</v>
      </c>
      <c r="E427" s="192" t="str">
        <f>'5. Refrigerant Charge'!I60</f>
        <v>F</v>
      </c>
      <c r="F427" s="192" t="str">
        <f>'5. Refrigerant Charge'!J60</f>
        <v>8.4.3.10.7</v>
      </c>
    </row>
    <row r="428" spans="2:6" s="193" customFormat="1" x14ac:dyDescent="0.25">
      <c r="B428" s="143" t="str">
        <f t="shared" ca="1" si="11"/>
        <v>5. Refrigerant Charge</v>
      </c>
      <c r="C428" s="201" t="str">
        <f>"Weigh-In Method - "&amp;'5. Refrigerant Charge'!B64</f>
        <v>Weigh-In Method - The total weight of refrigerant added to or removed from the system</v>
      </c>
      <c r="D428" s="96">
        <f>'5. Refrigerant Charge'!H64</f>
        <v>0</v>
      </c>
      <c r="E428" s="192" t="str">
        <f>'5. Refrigerant Charge'!I64</f>
        <v>Oz.</v>
      </c>
      <c r="F428" s="192" t="str">
        <f>'5. Refrigerant Charge'!J64</f>
        <v>8.5.2.1.1</v>
      </c>
    </row>
    <row r="429" spans="2:6" s="193" customFormat="1" x14ac:dyDescent="0.25">
      <c r="B429" s="143" t="str">
        <f t="shared" ca="1" si="11"/>
        <v>5. Refrigerant Charge</v>
      </c>
      <c r="C429" s="201" t="str">
        <f>"Weigh-In Method - "&amp;'5. Refrigerant Charge'!B65</f>
        <v xml:space="preserve">Weigh-In Method - Refrigerant added or removed? </v>
      </c>
      <c r="D429" s="96" t="str">
        <f>'5. Refrigerant Charge'!H65</f>
        <v>Added</v>
      </c>
      <c r="E429" s="192" t="s">
        <v>310</v>
      </c>
      <c r="F429" s="192" t="s">
        <v>310</v>
      </c>
    </row>
    <row r="430" spans="2:6" s="193" customFormat="1" x14ac:dyDescent="0.25">
      <c r="B430" s="143" t="str">
        <f t="shared" ca="1" si="11"/>
        <v>5. Refrigerant Charge</v>
      </c>
      <c r="C430" s="201" t="str">
        <f>"Weigh-In Method - "&amp;'5. Refrigerant Charge'!B66</f>
        <v xml:space="preserve">Weigh-In Method - Was factory charge removed first? </v>
      </c>
      <c r="D430" s="96" t="str">
        <f>'5. Refrigerant Charge'!H66</f>
        <v>No</v>
      </c>
      <c r="E430" s="192" t="s">
        <v>310</v>
      </c>
      <c r="F430" s="192" t="s">
        <v>310</v>
      </c>
    </row>
    <row r="431" spans="2:6" s="193" customFormat="1" x14ac:dyDescent="0.25">
      <c r="B431" s="143" t="str">
        <f t="shared" ca="1" si="11"/>
        <v>5. Refrigerant Charge</v>
      </c>
      <c r="C431" s="201" t="str">
        <f>"Weigh-In Method - "&amp;'5. Refrigerant Charge'!B67</f>
        <v>Weigh-In Method - Was time-stamped geotagged photo(s) collected, showing scale with 
amount of refrigerant added or removed?</v>
      </c>
      <c r="D431" s="96" t="str">
        <f>'5. Refrigerant Charge'!H67</f>
        <v>Yes</v>
      </c>
      <c r="E431" s="192" t="s">
        <v>310</v>
      </c>
      <c r="F431" s="192" t="str">
        <f>'5. Refrigerant Charge'!J67</f>
        <v>8.5.2.1.2</v>
      </c>
    </row>
    <row r="432" spans="2:6" s="193" customFormat="1" x14ac:dyDescent="0.25">
      <c r="B432" s="143" t="str">
        <f t="shared" ca="1" si="11"/>
        <v>5. Refrigerant Charge</v>
      </c>
      <c r="C432" s="201" t="str">
        <f>"Weigh-In Method - "&amp;'5. Refrigerant Charge'!B69</f>
        <v>Weigh-In Method - The total length of the liquid line</v>
      </c>
      <c r="D432" s="96">
        <f>'5. Refrigerant Charge'!H69</f>
        <v>0</v>
      </c>
      <c r="E432" s="192" t="str">
        <f>'5. Refrigerant Charge'!I69</f>
        <v>Ft.</v>
      </c>
      <c r="F432" s="192" t="str">
        <f>'5. Refrigerant Charge'!J69</f>
        <v>8.5.2.1.3</v>
      </c>
    </row>
    <row r="433" spans="1:6" s="193" customFormat="1" x14ac:dyDescent="0.25">
      <c r="B433" s="143" t="str">
        <f t="shared" ca="1" si="11"/>
        <v>5. Refrigerant Charge</v>
      </c>
      <c r="C433" s="201" t="str">
        <f>"Weigh-In Method - "&amp;'5. Refrigerant Charge'!B70</f>
        <v>Weigh-In Method - The outside diameter of the liquid line</v>
      </c>
      <c r="D433" s="96" t="str">
        <f>'5. Refrigerant Charge'!H70</f>
        <v>3/8"</v>
      </c>
      <c r="E433" s="192" t="str">
        <f>'5. Refrigerant Charge'!I70</f>
        <v>In.</v>
      </c>
      <c r="F433" s="192" t="str">
        <f>'5. Refrigerant Charge'!J70</f>
        <v>8.5.2.1.4</v>
      </c>
    </row>
    <row r="434" spans="1:6" s="193" customFormat="1" x14ac:dyDescent="0.25">
      <c r="B434" s="143" t="str">
        <f t="shared" ca="1" si="11"/>
        <v>5. Refrigerant Charge</v>
      </c>
      <c r="C434" s="201" t="str">
        <f>"Weigh-In Method - "&amp;'5. Refrigerant Charge'!B71</f>
        <v xml:space="preserve">Weigh-In Method - The length of liquid line accounted for in the factory-supplied </v>
      </c>
      <c r="D434" s="96">
        <f>'5. Refrigerant Charge'!H71</f>
        <v>0</v>
      </c>
      <c r="E434" s="192" t="str">
        <f>'5. Refrigerant Charge'!I71</f>
        <v>Ft.</v>
      </c>
      <c r="F434" s="192" t="str">
        <f>'5. Refrigerant Charge'!J71</f>
        <v>8.5.2.1.5</v>
      </c>
    </row>
    <row r="435" spans="1:6" s="193" customFormat="1" x14ac:dyDescent="0.25">
      <c r="B435" s="143" t="str">
        <f t="shared" ca="1" si="11"/>
        <v>5. Refrigerant Charge</v>
      </c>
      <c r="C435" s="201" t="str">
        <f>"Weigh-In Method - "&amp;'5. Refrigerant Charge'!B72</f>
        <v xml:space="preserve">Weigh-In Method - The weight of the factory-supplied refrigerant </v>
      </c>
      <c r="D435" s="96">
        <f>'5. Refrigerant Charge'!H72</f>
        <v>0</v>
      </c>
      <c r="E435" s="192" t="str">
        <f>'5. Refrigerant Charge'!I72</f>
        <v>Oz.</v>
      </c>
      <c r="F435" s="192" t="str">
        <f>'5. Refrigerant Charge'!J72</f>
        <v>8.5.2.1.6</v>
      </c>
    </row>
    <row r="436" spans="1:6" s="193" customFormat="1" x14ac:dyDescent="0.25">
      <c r="B436" s="143" t="str">
        <f t="shared" ca="1" si="11"/>
        <v>5. Refrigerant Charge</v>
      </c>
      <c r="C436" s="201" t="str">
        <f>"Weigh-In Method - "&amp;'5. Refrigerant Charge'!B73</f>
        <v>Weigh-In Method - The weight of refrigerant added for specific components (other than line length)</v>
      </c>
      <c r="D436" s="96">
        <f>'5. Refrigerant Charge'!H73</f>
        <v>0</v>
      </c>
      <c r="E436" s="192" t="str">
        <f>'5. Refrigerant Charge'!I73</f>
        <v>Oz.</v>
      </c>
      <c r="F436" s="192" t="str">
        <f>'5. Refrigerant Charge'!J73</f>
        <v>8.5.2.1.7</v>
      </c>
    </row>
    <row r="437" spans="1:6" s="193" customFormat="1" x14ac:dyDescent="0.25">
      <c r="B437" s="143" t="str">
        <f t="shared" ca="1" si="11"/>
        <v>5. Refrigerant Charge</v>
      </c>
      <c r="C437" s="201" t="str">
        <f>"Weigh-In Method - "&amp;'5. Refrigerant Charge'!B75</f>
        <v>Weigh-In Method - Enter the total length of the liquid line</v>
      </c>
      <c r="D437" s="96">
        <f>'5. Refrigerant Charge'!H75</f>
        <v>0</v>
      </c>
      <c r="E437" s="192" t="str">
        <f>'5. Refrigerant Charge'!I75</f>
        <v>Ft.</v>
      </c>
      <c r="F437" s="192" t="str">
        <f>'5. Refrigerant Charge'!J75</f>
        <v>8.5.3.1</v>
      </c>
    </row>
    <row r="438" spans="1:6" s="193" customFormat="1" x14ac:dyDescent="0.25">
      <c r="B438" s="143" t="str">
        <f t="shared" ca="1" si="11"/>
        <v>5. Refrigerant Charge</v>
      </c>
      <c r="C438" s="201" t="str">
        <f>"Weigh-In Method - "&amp;'5. Refrigerant Charge'!B76</f>
        <v>Weigh-In Method - Enter the outside diameter of the liquid line</v>
      </c>
      <c r="D438" s="96" t="str">
        <f>'5. Refrigerant Charge'!H76</f>
        <v>3/8"</v>
      </c>
      <c r="E438" s="192" t="str">
        <f>'5. Refrigerant Charge'!I76</f>
        <v>In.</v>
      </c>
      <c r="F438" s="192" t="str">
        <f>'5. Refrigerant Charge'!J76</f>
        <v>8.5.3.3</v>
      </c>
    </row>
    <row r="439" spans="1:6" s="193" customFormat="1" x14ac:dyDescent="0.25">
      <c r="B439" s="143" t="str">
        <f t="shared" ca="1" si="11"/>
        <v>5. Refrigerant Charge</v>
      </c>
      <c r="C439" s="199" t="str">
        <f>"Weigh-In Method - "&amp;'5. Refrigerant Charge'!B77</f>
        <v>Weigh-In Method - Delta liquid line length</v>
      </c>
      <c r="D439" s="141">
        <f>'5. Refrigerant Charge'!H77</f>
        <v>0</v>
      </c>
      <c r="E439" s="192" t="str">
        <f>'5. Refrigerant Charge'!I77</f>
        <v>Ft.</v>
      </c>
      <c r="F439" s="192" t="str">
        <f>'5. Refrigerant Charge'!J77</f>
        <v>8.5.3.2</v>
      </c>
    </row>
    <row r="440" spans="1:6" s="193" customFormat="1" x14ac:dyDescent="0.25">
      <c r="B440" s="143" t="str">
        <f t="shared" ca="1" si="11"/>
        <v>5. Refrigerant Charge</v>
      </c>
      <c r="C440" s="199" t="str">
        <f>"Weigh-In Method - "&amp;'5. Refrigerant Charge'!B78</f>
        <v>Weigh-In Method - Weight of the refrigerant required for the incremental liquid line length</v>
      </c>
      <c r="D440" s="141">
        <f>'5. Refrigerant Charge'!H78</f>
        <v>0</v>
      </c>
      <c r="E440" s="192" t="str">
        <f>'5. Refrigerant Charge'!I78</f>
        <v>Oz.</v>
      </c>
      <c r="F440" s="192" t="str">
        <f>'5. Refrigerant Charge'!J78</f>
        <v>8.5.3.4</v>
      </c>
    </row>
    <row r="441" spans="1:6" s="193" customFormat="1" x14ac:dyDescent="0.25">
      <c r="B441" s="143" t="str">
        <f t="shared" ca="1" si="11"/>
        <v>5. Refrigerant Charge</v>
      </c>
      <c r="C441" s="199" t="str">
        <f>"Weigh-In Method - "&amp;'5. Refrigerant Charge'!B79</f>
        <v xml:space="preserve">Weigh-In Method - Total anticipated refrigerant weight </v>
      </c>
      <c r="D441" s="141">
        <f>'5. Refrigerant Charge'!H79</f>
        <v>0</v>
      </c>
      <c r="E441" s="192" t="str">
        <f>'5. Refrigerant Charge'!I79</f>
        <v>Oz.</v>
      </c>
      <c r="F441" s="192" t="str">
        <f>'5. Refrigerant Charge'!J79</f>
        <v>8.5.3.5</v>
      </c>
    </row>
    <row r="442" spans="1:6" s="193" customFormat="1" x14ac:dyDescent="0.25">
      <c r="B442" s="143" t="str">
        <f t="shared" ca="1" si="11"/>
        <v>5. Refrigerant Charge</v>
      </c>
      <c r="C442" s="199" t="str">
        <f>"Weigh-In Method - "&amp;'5. Refrigerant Charge'!B80</f>
        <v>Weigh-In Method - Total reported refrigerant weight</v>
      </c>
      <c r="D442" s="141">
        <f>'5. Refrigerant Charge'!H80</f>
        <v>0</v>
      </c>
      <c r="E442" s="192" t="str">
        <f>'5. Refrigerant Charge'!I80</f>
        <v>Oz.</v>
      </c>
      <c r="F442" s="192" t="str">
        <f>'5. Refrigerant Charge'!J80</f>
        <v>8.5.3.6</v>
      </c>
    </row>
    <row r="443" spans="1:6" s="193" customFormat="1" x14ac:dyDescent="0.25">
      <c r="B443" s="143" t="str">
        <f t="shared" ca="1" si="11"/>
        <v>5. Refrigerant Charge</v>
      </c>
      <c r="C443" s="213" t="str">
        <f>"Weigh-In Method - "&amp;'5. Refrigerant Charge'!B81</f>
        <v xml:space="preserve">Weigh-In Method - Deviation between the total anticipated and total reported refrigerant weight </v>
      </c>
      <c r="D443" s="150" t="str">
        <f>'5. Refrigerant Charge'!H81</f>
        <v>N/A</v>
      </c>
      <c r="E443" s="192" t="s">
        <v>310</v>
      </c>
      <c r="F443" s="192" t="str">
        <f>'5. Refrigerant Charge'!J81</f>
        <v>8.5.3.7</v>
      </c>
    </row>
    <row r="444" spans="1:6" s="193" customFormat="1" x14ac:dyDescent="0.25">
      <c r="B444" s="143" t="str">
        <f t="shared" ca="1" si="11"/>
        <v>5. Refrigerant Charge</v>
      </c>
      <c r="C444" s="199" t="str">
        <f>'5. Refrigerant Charge'!B84</f>
        <v>Refrigerant Charge Grade for Non-Invasive Method: Piston/Capillary Tube</v>
      </c>
      <c r="D444" s="141" t="str">
        <f>'5. Refrigerant Charge'!H84</f>
        <v>N/A</v>
      </c>
      <c r="E444" s="192" t="s">
        <v>310</v>
      </c>
      <c r="F444" s="141" t="str">
        <f>'5. Refrigerant Charge'!J84</f>
        <v>8.6.2.1</v>
      </c>
    </row>
    <row r="445" spans="1:6" s="193" customFormat="1" x14ac:dyDescent="0.25">
      <c r="B445" s="143" t="str">
        <f t="shared" ca="1" si="11"/>
        <v>5. Refrigerant Charge</v>
      </c>
      <c r="C445" s="199" t="str">
        <f>'5. Refrigerant Charge'!B90</f>
        <v>Refrigerant Charge Grade for Non-Invasive Method: TXV/EEV</v>
      </c>
      <c r="D445" s="141" t="str">
        <f>'5. Refrigerant Charge'!H90</f>
        <v>N/A</v>
      </c>
      <c r="E445" s="192" t="s">
        <v>310</v>
      </c>
      <c r="F445" s="141" t="str">
        <f>'5. Refrigerant Charge'!J90</f>
        <v>8.6.2.2</v>
      </c>
    </row>
    <row r="446" spans="1:6" s="193" customFormat="1" x14ac:dyDescent="0.25">
      <c r="B446" s="143" t="str">
        <f t="shared" ca="1" si="11"/>
        <v>5. Refrigerant Charge</v>
      </c>
      <c r="C446" s="201" t="str">
        <f>"Weigh-In Method - "&amp;'5. Refrigerant Charge'!B97</f>
        <v xml:space="preserve">Weigh-In Method - Does the location of the geotagged photo provided in Section 8.5.2.1.2 </v>
      </c>
      <c r="D446" s="96" t="str">
        <f>'5. Refrigerant Charge'!H97</f>
        <v>Yes</v>
      </c>
      <c r="E446" s="192" t="s">
        <v>310</v>
      </c>
      <c r="F446" s="96" t="str">
        <f>'5. Refrigerant Charge'!J97</f>
        <v>8.6.2.1.2</v>
      </c>
    </row>
    <row r="447" spans="1:6" s="193" customFormat="1" x14ac:dyDescent="0.25">
      <c r="A447" s="191"/>
      <c r="B447" s="143" t="str">
        <f t="shared" ca="1" si="11"/>
        <v>5. Refrigerant Charge</v>
      </c>
      <c r="C447" s="199" t="str">
        <f>"Weigh-In Method - "&amp;'5. Refrigerant Charge'!B99</f>
        <v>Weigh-In Method - Grade Designation</v>
      </c>
      <c r="D447" s="141" t="e">
        <f>'5. Refrigerant Charge'!H99</f>
        <v>#VALUE!</v>
      </c>
      <c r="E447" s="192" t="s">
        <v>310</v>
      </c>
      <c r="F447" s="141" t="str">
        <f>'5. Refrigerant Charge'!J99</f>
        <v>8.6.3</v>
      </c>
    </row>
    <row r="448" spans="1:6" s="193" customFormat="1" x14ac:dyDescent="0.25">
      <c r="A448" s="191"/>
      <c r="B448" s="191"/>
      <c r="C448" s="197"/>
      <c r="D448" s="141"/>
      <c r="E448" s="192"/>
      <c r="F448" s="192"/>
    </row>
    <row r="449" spans="1:26" s="193" customFormat="1" x14ac:dyDescent="0.25">
      <c r="A449" s="191"/>
      <c r="B449" s="191"/>
      <c r="C449" s="197"/>
      <c r="D449" s="141"/>
      <c r="E449" s="192"/>
      <c r="F449" s="192"/>
    </row>
    <row r="450" spans="1:26" s="193" customFormat="1" x14ac:dyDescent="0.25">
      <c r="A450" s="191"/>
      <c r="B450" s="191"/>
      <c r="C450" s="197"/>
      <c r="D450" s="141"/>
      <c r="E450" s="192"/>
      <c r="F450" s="192"/>
    </row>
    <row r="451" spans="1:26" s="193" customFormat="1" x14ac:dyDescent="0.25">
      <c r="A451" s="191"/>
      <c r="B451" s="191"/>
      <c r="C451" s="197"/>
      <c r="D451" s="141"/>
      <c r="E451" s="192"/>
      <c r="F451" s="192"/>
    </row>
    <row r="452" spans="1:26" s="193" customFormat="1" x14ac:dyDescent="0.25">
      <c r="A452" s="191"/>
      <c r="B452" s="191"/>
      <c r="C452" s="197"/>
      <c r="D452" s="141"/>
      <c r="E452" s="192"/>
      <c r="F452" s="192"/>
    </row>
    <row r="453" spans="1:26" s="193" customFormat="1" x14ac:dyDescent="0.25">
      <c r="A453" s="191"/>
      <c r="B453" s="191"/>
      <c r="C453" s="197"/>
      <c r="D453" s="141"/>
      <c r="E453" s="192"/>
      <c r="F453" s="192"/>
    </row>
    <row r="454" spans="1:26" s="193" customFormat="1" x14ac:dyDescent="0.25">
      <c r="A454" s="191"/>
      <c r="B454" s="191"/>
      <c r="C454" s="197"/>
      <c r="D454" s="141"/>
      <c r="E454" s="192"/>
      <c r="F454" s="192"/>
    </row>
    <row r="455" spans="1:26" s="193" customFormat="1" x14ac:dyDescent="0.25">
      <c r="A455" s="191"/>
      <c r="B455" s="191"/>
      <c r="C455" s="197"/>
      <c r="D455" s="141"/>
      <c r="E455" s="192"/>
      <c r="F455" s="192"/>
    </row>
    <row r="456" spans="1:26" s="193" customFormat="1" x14ac:dyDescent="0.25">
      <c r="A456" s="191"/>
      <c r="B456" s="191"/>
      <c r="C456" s="197"/>
      <c r="D456" s="141"/>
      <c r="E456" s="192"/>
      <c r="F456" s="192"/>
    </row>
    <row r="457" spans="1:26" s="193" customFormat="1" x14ac:dyDescent="0.25">
      <c r="A457" s="191"/>
      <c r="B457" s="191"/>
      <c r="C457" s="197"/>
      <c r="D457" s="141"/>
      <c r="E457" s="192"/>
      <c r="F457" s="192"/>
    </row>
    <row r="458" spans="1:26" s="193" customFormat="1" x14ac:dyDescent="0.25">
      <c r="A458" s="191"/>
      <c r="B458" s="191"/>
      <c r="C458" s="197"/>
      <c r="D458" s="141"/>
      <c r="E458" s="192"/>
      <c r="F458" s="192"/>
    </row>
    <row r="459" spans="1:26" s="193" customFormat="1" x14ac:dyDescent="0.25">
      <c r="A459" s="191"/>
      <c r="B459" s="191"/>
      <c r="C459" s="197"/>
      <c r="D459" s="141"/>
      <c r="E459" s="192"/>
      <c r="F459" s="192"/>
    </row>
    <row r="460" spans="1:26" s="193" customFormat="1" x14ac:dyDescent="0.25">
      <c r="A460" s="191"/>
      <c r="B460" s="191"/>
      <c r="C460" s="197"/>
      <c r="D460" s="141"/>
      <c r="E460" s="192"/>
      <c r="F460" s="192"/>
    </row>
    <row r="461" spans="1:26" x14ac:dyDescent="0.25">
      <c r="H461" s="193"/>
      <c r="I461" s="193"/>
      <c r="J461" s="193"/>
      <c r="K461" s="193"/>
      <c r="L461" s="193"/>
      <c r="M461" s="193"/>
      <c r="N461" s="193"/>
      <c r="O461" s="193"/>
      <c r="P461" s="193"/>
      <c r="Q461" s="193"/>
      <c r="R461" s="193"/>
      <c r="S461" s="193"/>
      <c r="T461" s="193"/>
      <c r="U461" s="193"/>
      <c r="V461" s="193"/>
      <c r="W461" s="193"/>
      <c r="X461" s="193"/>
      <c r="Y461" s="193"/>
      <c r="Z461" s="193"/>
    </row>
    <row r="462" spans="1:26" x14ac:dyDescent="0.25">
      <c r="H462" s="193"/>
      <c r="I462" s="193"/>
      <c r="J462" s="193"/>
      <c r="K462" s="193"/>
      <c r="L462" s="193"/>
      <c r="M462" s="193"/>
      <c r="N462" s="193"/>
      <c r="O462" s="193"/>
      <c r="P462" s="193"/>
      <c r="Q462" s="193"/>
      <c r="R462" s="193"/>
      <c r="S462" s="193"/>
      <c r="T462" s="193"/>
      <c r="U462" s="193"/>
      <c r="V462" s="193"/>
      <c r="W462" s="193"/>
      <c r="X462" s="193"/>
      <c r="Y462" s="193"/>
      <c r="Z462" s="193"/>
    </row>
    <row r="463" spans="1:26" x14ac:dyDescent="0.25">
      <c r="H463" s="193"/>
      <c r="I463" s="193"/>
      <c r="J463" s="193"/>
      <c r="K463" s="193"/>
      <c r="L463" s="193"/>
      <c r="M463" s="193"/>
      <c r="N463" s="193"/>
      <c r="O463" s="193"/>
      <c r="P463" s="193"/>
      <c r="Q463" s="193"/>
      <c r="R463" s="193"/>
      <c r="S463" s="193"/>
      <c r="T463" s="193"/>
      <c r="U463" s="193"/>
      <c r="V463" s="193"/>
      <c r="W463" s="193"/>
      <c r="X463" s="193"/>
      <c r="Y463" s="193"/>
      <c r="Z463" s="193"/>
    </row>
    <row r="464" spans="1:26" x14ac:dyDescent="0.25">
      <c r="H464" s="193"/>
      <c r="I464" s="193"/>
      <c r="J464" s="193"/>
      <c r="K464" s="193"/>
      <c r="L464" s="193"/>
      <c r="M464" s="193"/>
      <c r="N464" s="193"/>
      <c r="O464" s="193"/>
      <c r="P464" s="193"/>
      <c r="Q464" s="193"/>
      <c r="R464" s="193"/>
      <c r="S464" s="193"/>
      <c r="T464" s="193"/>
      <c r="U464" s="193"/>
      <c r="V464" s="193"/>
      <c r="W464" s="193"/>
      <c r="X464" s="193"/>
      <c r="Y464" s="193"/>
      <c r="Z464" s="193"/>
    </row>
    <row r="465" spans="8:26" x14ac:dyDescent="0.25">
      <c r="H465" s="193"/>
      <c r="I465" s="193"/>
      <c r="J465" s="193"/>
      <c r="K465" s="193"/>
      <c r="L465" s="193"/>
      <c r="M465" s="193"/>
      <c r="N465" s="193"/>
      <c r="O465" s="193"/>
      <c r="P465" s="193"/>
      <c r="Q465" s="193"/>
      <c r="R465" s="193"/>
      <c r="S465" s="193"/>
      <c r="T465" s="193"/>
      <c r="U465" s="193"/>
      <c r="V465" s="193"/>
      <c r="W465" s="193"/>
      <c r="X465" s="193"/>
      <c r="Y465" s="193"/>
      <c r="Z465" s="193"/>
    </row>
    <row r="466" spans="8:26" x14ac:dyDescent="0.25">
      <c r="H466" s="193"/>
      <c r="I466" s="193"/>
      <c r="J466" s="193"/>
      <c r="K466" s="193"/>
      <c r="L466" s="193"/>
      <c r="M466" s="193"/>
      <c r="N466" s="193"/>
      <c r="O466" s="193"/>
      <c r="P466" s="193"/>
      <c r="Q466" s="193"/>
      <c r="R466" s="193"/>
      <c r="S466" s="193"/>
      <c r="T466" s="193"/>
      <c r="U466" s="193"/>
      <c r="V466" s="193"/>
      <c r="W466" s="193"/>
      <c r="X466" s="193"/>
      <c r="Y466" s="193"/>
      <c r="Z466" s="193"/>
    </row>
    <row r="467" spans="8:26" x14ac:dyDescent="0.25">
      <c r="H467" s="193"/>
      <c r="I467" s="193"/>
      <c r="J467" s="193"/>
      <c r="K467" s="193"/>
      <c r="L467" s="193"/>
      <c r="M467" s="193"/>
      <c r="N467" s="193"/>
      <c r="O467" s="193"/>
      <c r="P467" s="193"/>
      <c r="Q467" s="193"/>
      <c r="R467" s="193"/>
      <c r="S467" s="193"/>
      <c r="T467" s="193"/>
      <c r="U467" s="193"/>
      <c r="V467" s="193"/>
      <c r="W467" s="193"/>
      <c r="X467" s="193"/>
      <c r="Y467" s="193"/>
      <c r="Z467" s="193"/>
    </row>
    <row r="468" spans="8:26" x14ac:dyDescent="0.25">
      <c r="H468" s="193"/>
      <c r="I468" s="193"/>
      <c r="J468" s="193"/>
      <c r="K468" s="193"/>
      <c r="L468" s="193"/>
      <c r="M468" s="193"/>
      <c r="N468" s="193"/>
      <c r="O468" s="193"/>
      <c r="P468" s="193"/>
      <c r="Q468" s="193"/>
      <c r="R468" s="193"/>
      <c r="S468" s="193"/>
      <c r="T468" s="193"/>
      <c r="U468" s="193"/>
      <c r="V468" s="193"/>
      <c r="W468" s="193"/>
      <c r="X468" s="193"/>
      <c r="Y468" s="193"/>
      <c r="Z468" s="193"/>
    </row>
    <row r="469" spans="8:26" x14ac:dyDescent="0.25">
      <c r="H469" s="193"/>
      <c r="I469" s="193"/>
      <c r="J469" s="193"/>
      <c r="K469" s="193"/>
      <c r="L469" s="193"/>
      <c r="M469" s="193"/>
      <c r="N469" s="193"/>
      <c r="O469" s="193"/>
      <c r="P469" s="193"/>
      <c r="Q469" s="193"/>
      <c r="R469" s="193"/>
      <c r="S469" s="193"/>
      <c r="T469" s="193"/>
      <c r="U469" s="193"/>
      <c r="V469" s="193"/>
      <c r="W469" s="193"/>
      <c r="X469" s="193"/>
      <c r="Y469" s="193"/>
      <c r="Z469" s="193"/>
    </row>
    <row r="470" spans="8:26" x14ac:dyDescent="0.25">
      <c r="H470" s="193"/>
      <c r="I470" s="193"/>
      <c r="J470" s="193"/>
      <c r="K470" s="193"/>
      <c r="L470" s="193"/>
      <c r="M470" s="193"/>
      <c r="N470" s="193"/>
      <c r="O470" s="193"/>
      <c r="P470" s="193"/>
      <c r="Q470" s="193"/>
      <c r="R470" s="193"/>
      <c r="S470" s="193"/>
      <c r="T470" s="193"/>
      <c r="U470" s="193"/>
      <c r="V470" s="193"/>
      <c r="W470" s="193"/>
      <c r="X470" s="193"/>
      <c r="Y470" s="193"/>
      <c r="Z470" s="193"/>
    </row>
    <row r="471" spans="8:26" x14ac:dyDescent="0.25">
      <c r="H471" s="193"/>
      <c r="I471" s="193"/>
      <c r="J471" s="193"/>
      <c r="K471" s="193"/>
      <c r="L471" s="193"/>
      <c r="M471" s="193"/>
      <c r="N471" s="193"/>
      <c r="O471" s="193"/>
      <c r="P471" s="193"/>
      <c r="Q471" s="193"/>
      <c r="R471" s="193"/>
      <c r="S471" s="193"/>
      <c r="T471" s="193"/>
      <c r="U471" s="193"/>
      <c r="V471" s="193"/>
      <c r="W471" s="193"/>
      <c r="X471" s="193"/>
      <c r="Y471" s="193"/>
      <c r="Z471" s="193"/>
    </row>
    <row r="472" spans="8:26" x14ac:dyDescent="0.25">
      <c r="H472" s="193"/>
      <c r="I472" s="193"/>
      <c r="J472" s="193"/>
      <c r="K472" s="193"/>
      <c r="L472" s="193"/>
      <c r="M472" s="193"/>
      <c r="N472" s="193"/>
      <c r="O472" s="193"/>
      <c r="P472" s="193"/>
      <c r="Q472" s="193"/>
      <c r="R472" s="193"/>
      <c r="S472" s="193"/>
      <c r="T472" s="193"/>
      <c r="U472" s="193"/>
      <c r="V472" s="193"/>
      <c r="W472" s="193"/>
      <c r="X472" s="193"/>
      <c r="Y472" s="193"/>
      <c r="Z472" s="193"/>
    </row>
    <row r="473" spans="8:26" x14ac:dyDescent="0.25">
      <c r="H473" s="193"/>
      <c r="I473" s="193"/>
      <c r="J473" s="193"/>
      <c r="K473" s="193"/>
      <c r="L473" s="193"/>
      <c r="M473" s="193"/>
      <c r="N473" s="193"/>
      <c r="O473" s="193"/>
      <c r="P473" s="193"/>
      <c r="Q473" s="193"/>
      <c r="R473" s="193"/>
      <c r="S473" s="193"/>
      <c r="T473" s="193"/>
      <c r="U473" s="193"/>
      <c r="V473" s="193"/>
      <c r="W473" s="193"/>
      <c r="X473" s="193"/>
      <c r="Y473" s="193"/>
      <c r="Z473" s="193"/>
    </row>
    <row r="474" spans="8:26" x14ac:dyDescent="0.25">
      <c r="H474" s="193"/>
      <c r="I474" s="193"/>
      <c r="J474" s="193"/>
      <c r="K474" s="193"/>
      <c r="L474" s="193"/>
      <c r="M474" s="193"/>
      <c r="N474" s="193"/>
      <c r="O474" s="193"/>
      <c r="P474" s="193"/>
      <c r="Q474" s="193"/>
      <c r="R474" s="193"/>
      <c r="S474" s="193"/>
      <c r="T474" s="193"/>
      <c r="U474" s="193"/>
      <c r="V474" s="193"/>
      <c r="W474" s="193"/>
      <c r="X474" s="193"/>
      <c r="Y474" s="193"/>
      <c r="Z474" s="193"/>
    </row>
    <row r="475" spans="8:26" x14ac:dyDescent="0.25">
      <c r="H475" s="193"/>
      <c r="I475" s="193"/>
      <c r="J475" s="193"/>
      <c r="K475" s="193"/>
      <c r="L475" s="193"/>
      <c r="M475" s="193"/>
      <c r="N475" s="193"/>
      <c r="O475" s="193"/>
      <c r="P475" s="193"/>
      <c r="Q475" s="193"/>
      <c r="R475" s="193"/>
      <c r="S475" s="193"/>
      <c r="T475" s="193"/>
      <c r="U475" s="193"/>
      <c r="V475" s="193"/>
      <c r="W475" s="193"/>
      <c r="X475" s="193"/>
      <c r="Y475" s="193"/>
      <c r="Z475" s="193"/>
    </row>
    <row r="476" spans="8:26" x14ac:dyDescent="0.25">
      <c r="H476" s="193"/>
      <c r="I476" s="193"/>
      <c r="J476" s="193"/>
      <c r="K476" s="193"/>
      <c r="L476" s="193"/>
      <c r="M476" s="193"/>
      <c r="N476" s="193"/>
      <c r="O476" s="193"/>
      <c r="P476" s="193"/>
      <c r="Q476" s="193"/>
      <c r="R476" s="193"/>
      <c r="S476" s="193"/>
      <c r="T476" s="193"/>
      <c r="U476" s="193"/>
      <c r="V476" s="193"/>
      <c r="W476" s="193"/>
      <c r="X476" s="193"/>
      <c r="Y476" s="193"/>
      <c r="Z476" s="193"/>
    </row>
    <row r="477" spans="8:26" x14ac:dyDescent="0.25">
      <c r="H477" s="193"/>
      <c r="I477" s="193"/>
      <c r="J477" s="193"/>
      <c r="K477" s="193"/>
      <c r="L477" s="193"/>
      <c r="M477" s="193"/>
      <c r="N477" s="193"/>
      <c r="O477" s="193"/>
      <c r="P477" s="193"/>
      <c r="Q477" s="193"/>
      <c r="R477" s="193"/>
      <c r="S477" s="193"/>
      <c r="T477" s="193"/>
      <c r="U477" s="193"/>
      <c r="V477" s="193"/>
      <c r="W477" s="193"/>
      <c r="X477" s="193"/>
      <c r="Y477" s="193"/>
      <c r="Z477" s="193"/>
    </row>
    <row r="478" spans="8:26" x14ac:dyDescent="0.25">
      <c r="H478" s="193"/>
      <c r="I478" s="193"/>
      <c r="J478" s="193"/>
      <c r="K478" s="193"/>
      <c r="L478" s="193"/>
      <c r="M478" s="193"/>
      <c r="N478" s="193"/>
      <c r="O478" s="193"/>
      <c r="P478" s="193"/>
      <c r="Q478" s="193"/>
      <c r="R478" s="193"/>
      <c r="S478" s="193"/>
      <c r="T478" s="193"/>
      <c r="U478" s="193"/>
      <c r="V478" s="193"/>
      <c r="W478" s="193"/>
      <c r="X478" s="193"/>
      <c r="Y478" s="193"/>
      <c r="Z478" s="193"/>
    </row>
    <row r="479" spans="8:26" x14ac:dyDescent="0.25">
      <c r="H479" s="193"/>
      <c r="I479" s="193"/>
      <c r="J479" s="193"/>
      <c r="K479" s="193"/>
      <c r="L479" s="193"/>
      <c r="M479" s="193"/>
      <c r="N479" s="193"/>
      <c r="O479" s="193"/>
      <c r="P479" s="193"/>
      <c r="Q479" s="193"/>
      <c r="R479" s="193"/>
      <c r="S479" s="193"/>
      <c r="T479" s="193"/>
      <c r="U479" s="193"/>
      <c r="V479" s="193"/>
      <c r="W479" s="193"/>
      <c r="X479" s="193"/>
      <c r="Y479" s="193"/>
      <c r="Z479" s="193"/>
    </row>
    <row r="480" spans="8:26" x14ac:dyDescent="0.25">
      <c r="H480" s="193"/>
      <c r="I480" s="193"/>
      <c r="J480" s="193"/>
      <c r="K480" s="193"/>
      <c r="L480" s="193"/>
      <c r="M480" s="193"/>
      <c r="N480" s="193"/>
      <c r="O480" s="193"/>
      <c r="P480" s="193"/>
      <c r="Q480" s="193"/>
      <c r="R480" s="193"/>
      <c r="S480" s="193"/>
      <c r="T480" s="193"/>
      <c r="U480" s="193"/>
      <c r="V480" s="193"/>
      <c r="W480" s="193"/>
      <c r="X480" s="193"/>
      <c r="Y480" s="193"/>
      <c r="Z480" s="193"/>
    </row>
    <row r="481" spans="8:26" x14ac:dyDescent="0.25">
      <c r="H481" s="193"/>
      <c r="I481" s="193"/>
      <c r="J481" s="193"/>
      <c r="K481" s="193"/>
      <c r="L481" s="193"/>
      <c r="M481" s="193"/>
      <c r="N481" s="193"/>
      <c r="O481" s="193"/>
      <c r="P481" s="193"/>
      <c r="Q481" s="193"/>
      <c r="R481" s="193"/>
      <c r="S481" s="193"/>
      <c r="T481" s="193"/>
      <c r="U481" s="193"/>
      <c r="V481" s="193"/>
      <c r="W481" s="193"/>
      <c r="X481" s="193"/>
      <c r="Y481" s="193"/>
      <c r="Z481" s="193"/>
    </row>
    <row r="482" spans="8:26" x14ac:dyDescent="0.25">
      <c r="H482" s="193"/>
      <c r="I482" s="193"/>
      <c r="J482" s="193"/>
      <c r="K482" s="193"/>
      <c r="L482" s="193"/>
      <c r="M482" s="193"/>
      <c r="N482" s="193"/>
      <c r="O482" s="193"/>
      <c r="P482" s="193"/>
      <c r="Q482" s="193"/>
      <c r="R482" s="193"/>
      <c r="S482" s="193"/>
      <c r="T482" s="193"/>
      <c r="U482" s="193"/>
      <c r="V482" s="193"/>
      <c r="W482" s="193"/>
      <c r="X482" s="193"/>
      <c r="Y482" s="193"/>
      <c r="Z482" s="193"/>
    </row>
    <row r="483" spans="8:26" x14ac:dyDescent="0.25">
      <c r="H483" s="193"/>
      <c r="I483" s="193"/>
      <c r="J483" s="193"/>
      <c r="K483" s="193"/>
      <c r="L483" s="193"/>
      <c r="M483" s="193"/>
      <c r="N483" s="193"/>
      <c r="O483" s="193"/>
      <c r="P483" s="193"/>
      <c r="Q483" s="193"/>
      <c r="R483" s="193"/>
      <c r="S483" s="193"/>
      <c r="T483" s="193"/>
      <c r="U483" s="193"/>
      <c r="V483" s="193"/>
      <c r="W483" s="193"/>
      <c r="X483" s="193"/>
      <c r="Y483" s="193"/>
      <c r="Z483" s="193"/>
    </row>
    <row r="484" spans="8:26" x14ac:dyDescent="0.25">
      <c r="H484" s="193"/>
      <c r="I484" s="193"/>
      <c r="J484" s="193"/>
      <c r="K484" s="193"/>
      <c r="L484" s="193"/>
      <c r="M484" s="193"/>
      <c r="N484" s="193"/>
      <c r="O484" s="193"/>
      <c r="P484" s="193"/>
      <c r="Q484" s="193"/>
      <c r="R484" s="193"/>
      <c r="S484" s="193"/>
      <c r="T484" s="193"/>
      <c r="U484" s="193"/>
      <c r="V484" s="193"/>
      <c r="W484" s="193"/>
      <c r="X484" s="193"/>
      <c r="Y484" s="193"/>
      <c r="Z484" s="193"/>
    </row>
    <row r="485" spans="8:26" x14ac:dyDescent="0.25">
      <c r="H485" s="193"/>
      <c r="I485" s="193"/>
      <c r="J485" s="193"/>
      <c r="K485" s="193"/>
      <c r="L485" s="193"/>
      <c r="M485" s="193"/>
      <c r="N485" s="193"/>
      <c r="O485" s="193"/>
      <c r="P485" s="193"/>
      <c r="Q485" s="193"/>
      <c r="R485" s="193"/>
      <c r="S485" s="193"/>
      <c r="T485" s="193"/>
      <c r="U485" s="193"/>
      <c r="V485" s="193"/>
      <c r="W485" s="193"/>
      <c r="X485" s="193"/>
      <c r="Y485" s="193"/>
      <c r="Z485" s="193"/>
    </row>
    <row r="486" spans="8:26" x14ac:dyDescent="0.25">
      <c r="H486" s="193"/>
      <c r="I486" s="193"/>
      <c r="J486" s="193"/>
      <c r="K486" s="193"/>
      <c r="L486" s="193"/>
      <c r="M486" s="193"/>
      <c r="N486" s="193"/>
      <c r="O486" s="193"/>
      <c r="P486" s="193"/>
      <c r="Q486" s="193"/>
      <c r="R486" s="193"/>
      <c r="S486" s="193"/>
      <c r="T486" s="193"/>
      <c r="U486" s="193"/>
      <c r="V486" s="193"/>
      <c r="W486" s="193"/>
      <c r="X486" s="193"/>
      <c r="Y486" s="193"/>
      <c r="Z486" s="193"/>
    </row>
    <row r="487" spans="8:26" x14ac:dyDescent="0.25">
      <c r="H487" s="193"/>
      <c r="I487" s="193"/>
      <c r="J487" s="193"/>
      <c r="K487" s="193"/>
      <c r="L487" s="193"/>
      <c r="M487" s="193"/>
      <c r="N487" s="193"/>
      <c r="O487" s="193"/>
      <c r="P487" s="193"/>
      <c r="Q487" s="193"/>
      <c r="R487" s="193"/>
      <c r="S487" s="193"/>
      <c r="T487" s="193"/>
      <c r="U487" s="193"/>
      <c r="V487" s="193"/>
      <c r="W487" s="193"/>
      <c r="X487" s="193"/>
      <c r="Y487" s="193"/>
      <c r="Z487" s="193"/>
    </row>
    <row r="488" spans="8:26" x14ac:dyDescent="0.25">
      <c r="H488" s="193"/>
      <c r="I488" s="193"/>
      <c r="J488" s="193"/>
      <c r="K488" s="193"/>
      <c r="L488" s="193"/>
      <c r="M488" s="193"/>
      <c r="N488" s="193"/>
      <c r="O488" s="193"/>
      <c r="P488" s="193"/>
      <c r="Q488" s="193"/>
      <c r="R488" s="193"/>
      <c r="S488" s="193"/>
      <c r="T488" s="193"/>
      <c r="U488" s="193"/>
      <c r="V488" s="193"/>
      <c r="W488" s="193"/>
      <c r="X488" s="193"/>
      <c r="Y488" s="193"/>
      <c r="Z488" s="193"/>
    </row>
    <row r="489" spans="8:26" x14ac:dyDescent="0.25">
      <c r="H489" s="193"/>
      <c r="I489" s="193"/>
      <c r="J489" s="193"/>
      <c r="K489" s="193"/>
      <c r="L489" s="193"/>
      <c r="M489" s="193"/>
      <c r="N489" s="193"/>
      <c r="O489" s="193"/>
      <c r="P489" s="193"/>
      <c r="Q489" s="193"/>
      <c r="R489" s="193"/>
      <c r="S489" s="193"/>
      <c r="T489" s="193"/>
      <c r="U489" s="193"/>
      <c r="V489" s="193"/>
      <c r="W489" s="193"/>
      <c r="X489" s="193"/>
      <c r="Y489" s="193"/>
      <c r="Z489" s="193"/>
    </row>
    <row r="490" spans="8:26" x14ac:dyDescent="0.25">
      <c r="H490" s="193"/>
      <c r="I490" s="193"/>
      <c r="J490" s="193"/>
      <c r="K490" s="193"/>
      <c r="L490" s="193"/>
      <c r="M490" s="193"/>
      <c r="N490" s="193"/>
      <c r="O490" s="193"/>
      <c r="P490" s="193"/>
      <c r="Q490" s="193"/>
      <c r="R490" s="193"/>
      <c r="S490" s="193"/>
      <c r="T490" s="193"/>
      <c r="U490" s="193"/>
      <c r="V490" s="193"/>
      <c r="W490" s="193"/>
      <c r="X490" s="193"/>
      <c r="Y490" s="193"/>
      <c r="Z490" s="193"/>
    </row>
    <row r="491" spans="8:26" x14ac:dyDescent="0.25">
      <c r="H491" s="193"/>
      <c r="I491" s="193"/>
      <c r="J491" s="193"/>
      <c r="K491" s="193"/>
      <c r="L491" s="193"/>
      <c r="M491" s="193"/>
      <c r="N491" s="193"/>
      <c r="O491" s="193"/>
      <c r="P491" s="193"/>
      <c r="Q491" s="193"/>
      <c r="R491" s="193"/>
      <c r="S491" s="193"/>
      <c r="T491" s="193"/>
      <c r="U491" s="193"/>
      <c r="V491" s="193"/>
      <c r="W491" s="193"/>
      <c r="X491" s="193"/>
      <c r="Y491" s="193"/>
      <c r="Z491" s="193"/>
    </row>
    <row r="492" spans="8:26" x14ac:dyDescent="0.25">
      <c r="H492" s="193"/>
      <c r="I492" s="193"/>
      <c r="J492" s="193"/>
      <c r="K492" s="193"/>
      <c r="L492" s="193"/>
      <c r="M492" s="193"/>
      <c r="N492" s="193"/>
      <c r="O492" s="193"/>
      <c r="P492" s="193"/>
      <c r="Q492" s="193"/>
      <c r="R492" s="193"/>
      <c r="S492" s="193"/>
      <c r="T492" s="193"/>
      <c r="U492" s="193"/>
      <c r="V492" s="193"/>
      <c r="W492" s="193"/>
      <c r="X492" s="193"/>
      <c r="Y492" s="193"/>
      <c r="Z492" s="193"/>
    </row>
  </sheetData>
  <sheetProtection sheet="1" selectLockedCells="1" selectUnlockedCells="1"/>
  <pageMargins left="0.4" right="0.4" top="0.4" bottom="0.4" header="0.3" footer="0.3"/>
  <pageSetup scale="54" orientation="portrait" horizontalDpi="1200" verticalDpi="1200" r:id="rId1"/>
  <headerFooter>
    <oddFooter>&amp;C&amp;A&amp;Rv1.3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C36E4B540BED574880175DFCB727B148" ma:contentTypeVersion="18" ma:contentTypeDescription="Create a new document." ma:contentTypeScope="" ma:versionID="eae2b53ee24b32d38f853fd8de5e56e7">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906918b8-db1a-456d-a3fd-e97f140f6751" xmlns:ns6="df51858c-42e3-48a9-9c96-a5c377c32b83" targetNamespace="http://schemas.microsoft.com/office/2006/metadata/properties" ma:root="true" ma:fieldsID="fcd81319911f56b19786d27b9db81412" ns1:_="" ns2:_="" ns3:_="" ns4:_="" ns5:_="" ns6:_="">
    <xsd:import namespace="http://schemas.microsoft.com/sharepoint/v3"/>
    <xsd:import namespace="4ffa91fb-a0ff-4ac5-b2db-65c790d184a4"/>
    <xsd:import namespace="http://schemas.microsoft.com/sharepoint.v3"/>
    <xsd:import namespace="http://schemas.microsoft.com/sharepoint/v3/fields"/>
    <xsd:import namespace="906918b8-db1a-456d-a3fd-e97f140f6751"/>
    <xsd:import namespace="df51858c-42e3-48a9-9c96-a5c377c32b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MediaServiceMetadata" minOccurs="0"/>
                <xsd:element ref="ns6:MediaServiceFastMetadata" minOccurs="0"/>
                <xsd:element ref="ns6:MediaServiceAutoTags" minOccurs="0"/>
                <xsd:element ref="ns6:MediaServiceOCR" minOccurs="0"/>
                <xsd:element ref="ns6:MediaServiceDateTaken" minOccurs="0"/>
                <xsd:element ref="ns6:MediaServiceEventHashCode" minOccurs="0"/>
                <xsd:element ref="ns6:MediaServiceGenerationTime" minOccurs="0"/>
                <xsd:element ref="ns6:MediaServiceLocation" minOccurs="0"/>
                <xsd:element ref="ns6:MediaServiceAutoKeyPoints" minOccurs="0"/>
                <xsd:element ref="ns6: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41" nillable="true" ma:displayName="Unified Compliance Policy Properties" ma:hidden="true" ma:internalName="_ip_UnifiedCompliancePolicyProperties">
      <xsd:simpleType>
        <xsd:restriction base="dms:Note"/>
      </xsd:simpleType>
    </xsd:element>
    <xsd:element name="_ip_UnifiedCompliancePolicyUIAction" ma:index="4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7644293a-bd45-45ae-b8c9-317db4217720}" ma:internalName="TaxCatchAllLabel" ma:readOnly="true" ma:showField="CatchAllDataLabel"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7644293a-bd45-45ae-b8c9-317db4217720}" ma:internalName="TaxCatchAll" ma:showField="CatchAllData" ma:web="906918b8-db1a-456d-a3fd-e97f140f6751">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6918b8-db1a-456d-a3fd-e97f140f6751"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51858c-42e3-48a9-9c96-a5c377c32b83" elementFormDefault="qualified">
    <xsd:import namespace="http://schemas.microsoft.com/office/2006/documentManagement/types"/>
    <xsd:import namespace="http://schemas.microsoft.com/office/infopath/2007/PartnerControls"/>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AutoTags" ma:index="33" nillable="true" ma:displayName="MediaServiceAutoTags" ma:internalName="MediaServiceAutoTags" ma:readOnly="true">
      <xsd:simpleType>
        <xsd:restriction base="dms:Text"/>
      </xsd:simpleType>
    </xsd:element>
    <xsd:element name="MediaServiceOCR" ma:index="34" nillable="true" ma:displayName="MediaServiceOCR" ma:internalName="MediaServiceOCR"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Location" ma:index="38" nillable="true" ma:displayName="Location" ma:internalName="MediaServiceLocatio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2019-06-17T11:47:02+00:00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ip_UnifiedCompliancePolicyUIAction xmlns="http://schemas.microsoft.com/sharepoint/v3" xsi:nil="true"/>
    <_ip_UnifiedCompliancePolicyPropertie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8AE58B-5D6F-4394-9C0E-938648CDD5D0}">
  <ds:schemaRefs>
    <ds:schemaRef ds:uri="Microsoft.SharePoint.Taxonomy.ContentTypeSync"/>
  </ds:schemaRefs>
</ds:datastoreItem>
</file>

<file path=customXml/itemProps2.xml><?xml version="1.0" encoding="utf-8"?>
<ds:datastoreItem xmlns:ds="http://schemas.openxmlformats.org/officeDocument/2006/customXml" ds:itemID="{6DFDB4CA-E12A-424F-A541-C7C2E2ED70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906918b8-db1a-456d-a3fd-e97f140f6751"/>
    <ds:schemaRef ds:uri="df51858c-42e3-48a9-9c96-a5c377c32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B5AB3-E3D4-477B-82C5-6BA54A99FD11}">
  <ds:schemaRefs>
    <ds:schemaRef ds:uri="http://schemas.microsoft.com/sharepoint/v3"/>
    <ds:schemaRef ds:uri="http://purl.org/dc/terms/"/>
    <ds:schemaRef ds:uri="http://schemas.openxmlformats.org/package/2006/metadata/core-properties"/>
    <ds:schemaRef ds:uri="df51858c-42e3-48a9-9c96-a5c377c32b83"/>
    <ds:schemaRef ds:uri="http://schemas.microsoft.com/office/2006/documentManagement/types"/>
    <ds:schemaRef ds:uri="http://schemas.microsoft.com/office/infopath/2007/PartnerControls"/>
    <ds:schemaRef ds:uri="906918b8-db1a-456d-a3fd-e97f140f6751"/>
    <ds:schemaRef ds:uri="http://schemas.microsoft.com/sharepoint/v3/fields"/>
    <ds:schemaRef ds:uri="http://purl.org/dc/elements/1.1/"/>
    <ds:schemaRef ds:uri="http://schemas.microsoft.com/office/2006/metadata/properties"/>
    <ds:schemaRef ds:uri="http://schemas.microsoft.com/sharepoint.v3"/>
    <ds:schemaRef ds:uri="4ffa91fb-a0ff-4ac5-b2db-65c790d184a4"/>
    <ds:schemaRef ds:uri="http://www.w3.org/XML/1998/namespace"/>
    <ds:schemaRef ds:uri="http://purl.org/dc/dcmitype/"/>
  </ds:schemaRefs>
</ds:datastoreItem>
</file>

<file path=customXml/itemProps4.xml><?xml version="1.0" encoding="utf-8"?>
<ds:datastoreItem xmlns:ds="http://schemas.openxmlformats.org/officeDocument/2006/customXml" ds:itemID="{21788D69-1C1A-465D-AACE-B1C6881D65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About</vt:lpstr>
      <vt:lpstr>Project Summary</vt:lpstr>
      <vt:lpstr>1. HVAC Design Review</vt:lpstr>
      <vt:lpstr>2. Total Duct Leakage</vt:lpstr>
      <vt:lpstr>3. Blower Fan Airflow</vt:lpstr>
      <vt:lpstr>4. Blower Fan Watt Draw</vt:lpstr>
      <vt:lpstr>5. Refrigerant Charge</vt:lpstr>
      <vt:lpstr>Data Export</vt:lpstr>
      <vt:lpstr>'4. Blower Fan Watt Draw'!_Ref507258316</vt:lpstr>
      <vt:lpstr>'4. Blower Fan Watt Draw'!_Ref507258329</vt:lpstr>
      <vt:lpstr>'4. Blower Fan Watt Draw'!_Ref507258348</vt:lpstr>
      <vt:lpstr>'1. HVAC Design Review'!Print_Area</vt:lpstr>
      <vt:lpstr>'2. Total Duct Leakage'!Print_Area</vt:lpstr>
      <vt:lpstr>'3. Blower Fan Airflow'!Print_Area</vt:lpstr>
      <vt:lpstr>'4. Blower Fan Watt Draw'!Print_Area</vt:lpstr>
      <vt:lpstr>'5. Refrigerant Charge'!Print_Area</vt:lpstr>
      <vt:lpstr>About!Print_Area</vt:lpstr>
      <vt:lpstr>'Data Export'!Print_Area</vt:lpstr>
      <vt:lpstr>'Project Summary'!Print_Area</vt:lpstr>
      <vt:lpstr>Version</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Brown</dc:creator>
  <cp:lastModifiedBy>Gamble, Dean</cp:lastModifiedBy>
  <cp:lastPrinted>2021-04-06T14:38:28Z</cp:lastPrinted>
  <dcterms:created xsi:type="dcterms:W3CDTF">2018-05-03T17:36:06Z</dcterms:created>
  <dcterms:modified xsi:type="dcterms:W3CDTF">2021-04-07T17:11:14Z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0x010100C36E4B540BED574880175DFCB727B148</vt:lpwstr>
  </property>
  <property fmtid="{D5CDD505-2E9C-101B-9397-08002B2CF9AE}" pid="3" name="TaxKeyword">
    <vt:lpwstr/>
  </property>
  <property fmtid="{D5CDD505-2E9C-101B-9397-08002B2CF9AE}" pid="4" name="EPA Subject">
    <vt:lpwstr/>
  </property>
  <property fmtid="{D5CDD505-2E9C-101B-9397-08002B2CF9AE}" pid="5" name="Document Type">
    <vt:lpwstr/>
  </property>
</Properties>
</file>