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 Fairey\Documents\resnet\Committees\SDC300\Std380\BlowerDoor\"/>
    </mc:Choice>
  </mc:AlternateContent>
  <bookViews>
    <workbookView xWindow="0" yWindow="0" windowWidth="16530" windowHeight="7300"/>
  </bookViews>
  <sheets>
    <sheet name="cfm50_correct" sheetId="1" r:id="rId1"/>
    <sheet name="Calcs" sheetId="2" r:id="rId2"/>
  </sheets>
  <definedNames>
    <definedName name="b">Calcs!$B$11</definedName>
    <definedName name="Baseline_P">cfm50_correct!$B$9</definedName>
    <definedName name="C_">Calcs!$K$11</definedName>
    <definedName name="C0">cfm50_correct!$B$13</definedName>
    <definedName name="C0_dePres">Calcs!$Q$11</definedName>
    <definedName name="C0_Pres">Calcs!$N$11</definedName>
    <definedName name="corrected_ach50">cfm50_correct!$B$17</definedName>
    <definedName name="corrected_cfm50">cfm50_correct!$B$14</definedName>
    <definedName name="dePres">Calcs!$L$4</definedName>
    <definedName name="ELA">cfm50_correct!$B$16</definedName>
    <definedName name="Elevation">cfm50_correct!$B$7</definedName>
    <definedName name="fan_cfm50">cfm50_correct!$B$10</definedName>
    <definedName name="InfVol">cfm50_correct!$B$11</definedName>
    <definedName name="Multi_Point">Calcs!$L$6</definedName>
    <definedName name="n_dePres">Calcs!$O$11</definedName>
    <definedName name="n_Pres">Calcs!$L$11</definedName>
    <definedName name="Pres">Calcs!$L$3</definedName>
    <definedName name="PresExp">cfm50_correct!$B$8</definedName>
    <definedName name="Q0_dePres">Calcs!$P$11</definedName>
    <definedName name="Q0_Pres">Calcs!$M$11</definedName>
    <definedName name="Q0_test">Calcs!$J$11</definedName>
    <definedName name="s">Calcs!$C$11</definedName>
    <definedName name="Single_Point">Calcs!$L$5</definedName>
    <definedName name="Test_method">cfm50_correct!$B$3</definedName>
    <definedName name="Test_type">cfm50_correct!$B$4</definedName>
    <definedName name="Tin">cfm50_correct!$B$5</definedName>
    <definedName name="Tout">cfm50_correct!$B$6</definedName>
    <definedName name="μ0">Calcs!$I$11</definedName>
    <definedName name="μin">Calcs!$G$11</definedName>
    <definedName name="μout">Calcs!$H$11</definedName>
    <definedName name="ρ0">Calcs!$F$11</definedName>
    <definedName name="ρin">Calcs!$D$11</definedName>
    <definedName name="ρout">Calcs!$E$11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8" i="1" l="1"/>
  <c r="C18" i="1"/>
  <c r="O11" i="2" l="1"/>
  <c r="L11" i="2"/>
  <c r="E11" i="2" l="1"/>
  <c r="D11" i="2" l="1"/>
  <c r="F11" i="2" l="1"/>
  <c r="M11" i="2" s="1"/>
  <c r="P11" i="2" l="1"/>
  <c r="J11" i="2" s="1"/>
  <c r="K11" i="2" s="1"/>
  <c r="B11" i="2"/>
  <c r="I11" i="2" l="1"/>
  <c r="H11" i="2"/>
  <c r="G11" i="2"/>
  <c r="N11" i="2" l="1"/>
  <c r="Q11" i="2"/>
  <c r="B13" i="1" l="1"/>
  <c r="C13" i="1" s="1"/>
  <c r="B14" i="1" l="1"/>
  <c r="B17" i="1" l="1"/>
  <c r="B18" i="1" s="1"/>
  <c r="B15" i="1"/>
  <c r="B16" i="1"/>
</calcChain>
</file>

<file path=xl/sharedStrings.xml><?xml version="1.0" encoding="utf-8"?>
<sst xmlns="http://schemas.openxmlformats.org/spreadsheetml/2006/main" count="51" uniqueCount="49">
  <si>
    <r>
      <t>C</t>
    </r>
    <r>
      <rPr>
        <vertAlign val="sub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 xml:space="preserve"> = C*(</t>
    </r>
    <r>
      <rPr>
        <sz val="12"/>
        <color theme="1"/>
        <rFont val="Calibri"/>
        <family val="2"/>
      </rPr>
      <t>μ/μ</t>
    </r>
    <r>
      <rPr>
        <vertAlign val="subscript"/>
        <sz val="12"/>
        <color theme="1"/>
        <rFont val="Calibri"/>
        <family val="2"/>
      </rPr>
      <t>o</t>
    </r>
    <r>
      <rPr>
        <sz val="12"/>
        <color theme="1"/>
        <rFont val="Calibri"/>
        <family val="2"/>
      </rPr>
      <t>)^</t>
    </r>
    <r>
      <rPr>
        <vertAlign val="superscript"/>
        <sz val="12"/>
        <color theme="1"/>
        <rFont val="Calibri"/>
        <family val="2"/>
      </rPr>
      <t>(2n-1)</t>
    </r>
    <r>
      <rPr>
        <sz val="12"/>
        <color theme="1"/>
        <rFont val="Calibri"/>
        <family val="2"/>
      </rPr>
      <t>*(ρ/ρ</t>
    </r>
    <r>
      <rPr>
        <vertAlign val="subscript"/>
        <sz val="12"/>
        <color theme="1"/>
        <rFont val="Calibri"/>
        <family val="2"/>
      </rPr>
      <t>o</t>
    </r>
    <r>
      <rPr>
        <sz val="12"/>
        <color theme="1"/>
        <rFont val="Calibri"/>
        <family val="2"/>
      </rPr>
      <t>)^</t>
    </r>
    <r>
      <rPr>
        <vertAlign val="superscript"/>
        <sz val="12"/>
        <color theme="1"/>
        <rFont val="Calibri"/>
        <family val="2"/>
      </rPr>
      <t>(1-n)</t>
    </r>
  </si>
  <si>
    <r>
      <rPr>
        <sz val="12"/>
        <color theme="1"/>
        <rFont val="Calibri"/>
        <family val="2"/>
      </rPr>
      <t>μ = (b*(T+460)^</t>
    </r>
    <r>
      <rPr>
        <vertAlign val="superscript"/>
        <sz val="12"/>
        <color theme="1"/>
        <rFont val="Calibri"/>
        <family val="2"/>
      </rPr>
      <t>0.5</t>
    </r>
    <r>
      <rPr>
        <sz val="12"/>
        <color theme="1"/>
        <rFont val="Calibri"/>
        <family val="2"/>
      </rPr>
      <t>)/(1+s/(T+460))</t>
    </r>
  </si>
  <si>
    <t>s</t>
  </si>
  <si>
    <t>b</t>
  </si>
  <si>
    <t>depressurization</t>
  </si>
  <si>
    <t>pressurization</t>
  </si>
  <si>
    <t>Constants (IP)</t>
  </si>
  <si>
    <t>Intermediate Output (IP)</t>
  </si>
  <si>
    <r>
      <t>T</t>
    </r>
    <r>
      <rPr>
        <vertAlign val="subscript"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 (F) =</t>
    </r>
  </si>
  <si>
    <r>
      <t>T</t>
    </r>
    <r>
      <rPr>
        <vertAlign val="subscript"/>
        <sz val="12"/>
        <color theme="1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(F) =</t>
    </r>
  </si>
  <si>
    <t>Elevation (ft) =</t>
  </si>
  <si>
    <t>Pressurization</t>
  </si>
  <si>
    <t>Depressurization</t>
  </si>
  <si>
    <t>Test type =</t>
  </si>
  <si>
    <t>Input:</t>
  </si>
  <si>
    <t>Single Point</t>
  </si>
  <si>
    <t>Multi Point</t>
  </si>
  <si>
    <t>Test method =</t>
  </si>
  <si>
    <r>
      <t>ρ</t>
    </r>
    <r>
      <rPr>
        <b/>
        <vertAlign val="subscript"/>
        <sz val="12"/>
        <color theme="1"/>
        <rFont val="Calibri"/>
        <family val="2"/>
      </rPr>
      <t>in</t>
    </r>
  </si>
  <si>
    <r>
      <t>ρ</t>
    </r>
    <r>
      <rPr>
        <b/>
        <vertAlign val="subscript"/>
        <sz val="12"/>
        <color theme="1"/>
        <rFont val="Calibri"/>
        <family val="2"/>
      </rPr>
      <t>out</t>
    </r>
    <r>
      <rPr>
        <b/>
        <sz val="12"/>
        <color theme="1"/>
        <rFont val="Calibri"/>
        <family val="2"/>
      </rPr>
      <t xml:space="preserve"> </t>
    </r>
  </si>
  <si>
    <r>
      <t>μ</t>
    </r>
    <r>
      <rPr>
        <b/>
        <vertAlign val="subscript"/>
        <sz val="12"/>
        <color theme="1"/>
        <rFont val="Calibri"/>
        <family val="2"/>
      </rPr>
      <t>in</t>
    </r>
  </si>
  <si>
    <r>
      <t>μ</t>
    </r>
    <r>
      <rPr>
        <b/>
        <vertAlign val="subscript"/>
        <sz val="12"/>
        <color theme="1"/>
        <rFont val="Calibri"/>
        <family val="2"/>
      </rPr>
      <t>out</t>
    </r>
  </si>
  <si>
    <r>
      <t>ELA (in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=</t>
    </r>
  </si>
  <si>
    <r>
      <t>ρ</t>
    </r>
    <r>
      <rPr>
        <vertAlign val="subscript"/>
        <sz val="12"/>
        <color theme="1"/>
        <rFont val="Calibri"/>
        <family val="2"/>
      </rPr>
      <t>in</t>
    </r>
    <r>
      <rPr>
        <sz val="12"/>
        <color theme="1"/>
        <rFont val="Calibri"/>
        <family val="2"/>
      </rPr>
      <t xml:space="preserve"> = 0.07517*(1-(0.0035666*E/528))^</t>
    </r>
    <r>
      <rPr>
        <vertAlign val="superscript"/>
        <sz val="12"/>
        <color theme="1"/>
        <rFont val="Calibri"/>
        <family val="2"/>
      </rPr>
      <t>5.2553</t>
    </r>
    <r>
      <rPr>
        <sz val="12"/>
        <color theme="1"/>
        <rFont val="Calibri"/>
        <family val="2"/>
      </rPr>
      <t>*(528/(T</t>
    </r>
    <r>
      <rPr>
        <vertAlign val="subscript"/>
        <sz val="12"/>
        <color theme="1"/>
        <rFont val="Calibri"/>
        <family val="2"/>
      </rPr>
      <t>in</t>
    </r>
    <r>
      <rPr>
        <sz val="12"/>
        <color theme="1"/>
        <rFont val="Calibri"/>
        <family val="2"/>
      </rPr>
      <t>+460))</t>
    </r>
  </si>
  <si>
    <r>
      <t>ρ</t>
    </r>
    <r>
      <rPr>
        <vertAlign val="subscript"/>
        <sz val="12"/>
        <color theme="1"/>
        <rFont val="Calibri"/>
        <family val="2"/>
      </rPr>
      <t>out</t>
    </r>
    <r>
      <rPr>
        <sz val="12"/>
        <color theme="1"/>
        <rFont val="Calibri"/>
        <family val="2"/>
      </rPr>
      <t xml:space="preserve"> = 0.07517*(1-(0.0035666*E/528))^</t>
    </r>
    <r>
      <rPr>
        <vertAlign val="superscript"/>
        <sz val="12"/>
        <color theme="1"/>
        <rFont val="Calibri"/>
        <family val="2"/>
      </rPr>
      <t>5.2553</t>
    </r>
    <r>
      <rPr>
        <sz val="12"/>
        <color theme="1"/>
        <rFont val="Calibri"/>
        <family val="2"/>
      </rPr>
      <t>*(528/(T</t>
    </r>
    <r>
      <rPr>
        <vertAlign val="subscript"/>
        <sz val="12"/>
        <color theme="1"/>
        <rFont val="Calibri"/>
        <family val="2"/>
      </rPr>
      <t>out</t>
    </r>
    <r>
      <rPr>
        <sz val="12"/>
        <color theme="1"/>
        <rFont val="Calibri"/>
        <family val="2"/>
      </rPr>
      <t>+460))</t>
    </r>
  </si>
  <si>
    <t>C = cfm50/(50^n)</t>
  </si>
  <si>
    <r>
      <t>C</t>
    </r>
    <r>
      <rPr>
        <vertAlign val="sub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 xml:space="preserve"> =</t>
    </r>
  </si>
  <si>
    <t>Baseline P =</t>
  </si>
  <si>
    <r>
      <t xml:space="preserve">n </t>
    </r>
    <r>
      <rPr>
        <b/>
        <vertAlign val="subscript"/>
        <sz val="12"/>
        <color theme="1"/>
        <rFont val="Calibri"/>
        <family val="2"/>
        <scheme val="minor"/>
      </rPr>
      <t>Pres</t>
    </r>
  </si>
  <si>
    <r>
      <t xml:space="preserve">n </t>
    </r>
    <r>
      <rPr>
        <b/>
        <vertAlign val="subscript"/>
        <sz val="12"/>
        <color theme="1"/>
        <rFont val="Calibri"/>
        <family val="2"/>
        <scheme val="minor"/>
      </rPr>
      <t>dePres</t>
    </r>
  </si>
  <si>
    <t>E779-10 Calculations (IAW Section 9 and Appendix X1)</t>
  </si>
  <si>
    <t>C_</t>
  </si>
  <si>
    <r>
      <t>ρ</t>
    </r>
    <r>
      <rPr>
        <b/>
        <vertAlign val="subscript"/>
        <sz val="12"/>
        <color theme="1"/>
        <rFont val="Calibri"/>
        <family val="2"/>
      </rPr>
      <t>0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</si>
  <si>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0 test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</si>
  <si>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0 Pres</t>
    </r>
  </si>
  <si>
    <r>
      <t>C</t>
    </r>
    <r>
      <rPr>
        <b/>
        <vertAlign val="subscript"/>
        <sz val="12"/>
        <color theme="1"/>
        <rFont val="Calibri"/>
        <family val="2"/>
        <scheme val="minor"/>
      </rPr>
      <t>0 Pres</t>
    </r>
  </si>
  <si>
    <r>
      <t>Q</t>
    </r>
    <r>
      <rPr>
        <b/>
        <vertAlign val="subscript"/>
        <sz val="12"/>
        <color theme="1"/>
        <rFont val="Calibri"/>
        <family val="2"/>
        <scheme val="minor"/>
      </rPr>
      <t>0 dePres</t>
    </r>
  </si>
  <si>
    <r>
      <t>C</t>
    </r>
    <r>
      <rPr>
        <b/>
        <vertAlign val="subscript"/>
        <sz val="12"/>
        <color theme="1"/>
        <rFont val="Calibri"/>
        <family val="2"/>
        <scheme val="minor"/>
      </rPr>
      <t>0 dePres</t>
    </r>
  </si>
  <si>
    <r>
      <t>μ</t>
    </r>
    <r>
      <rPr>
        <b/>
        <vertAlign val="subscript"/>
        <sz val="12"/>
        <color theme="1"/>
        <rFont val="Calibri"/>
        <family val="2"/>
      </rPr>
      <t>0</t>
    </r>
  </si>
  <si>
    <r>
      <t>Infil. Volume (ft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) =</t>
    </r>
  </si>
  <si>
    <t xml:space="preserve"> corrected cfm50 =</t>
  </si>
  <si>
    <t>corrected ach50 =</t>
  </si>
  <si>
    <t>pressure exponent (n) =</t>
  </si>
  <si>
    <r>
      <t>Output</t>
    </r>
    <r>
      <rPr>
        <sz val="12"/>
        <color rgb="FFC00000"/>
        <rFont val="Calibri"/>
        <family val="2"/>
        <scheme val="minor"/>
      </rPr>
      <t>*</t>
    </r>
    <r>
      <rPr>
        <sz val="12"/>
        <rFont val="Calibri"/>
        <family val="2"/>
        <scheme val="minor"/>
      </rPr>
      <t>:</t>
    </r>
  </si>
  <si>
    <t>* Corrected for The Energy Conservatory (TEC) and Retrotec Blower
   Door air flow calibrations at Normal Temperature and Pressure (NTP).
   Other air flow test equipment is not covered by these calculations.</t>
  </si>
  <si>
    <r>
      <t>fan cfm50 (Q</t>
    </r>
    <r>
      <rPr>
        <vertAlign val="subscript"/>
        <sz val="14"/>
        <rFont val="Calibri"/>
        <family val="2"/>
        <scheme val="minor"/>
      </rPr>
      <t>i</t>
    </r>
    <r>
      <rPr>
        <sz val="12"/>
        <rFont val="Calibri"/>
        <family val="2"/>
        <scheme val="minor"/>
      </rPr>
      <t>) =</t>
    </r>
  </si>
  <si>
    <t>corrected ach50 +10% =</t>
  </si>
  <si>
    <t xml:space="preserve"> corrected cfm50 +10% =</t>
  </si>
  <si>
    <t>Temperature &amp; Altitude Correction
For Envelope Leakage Test Results (v11)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</si>
</sst>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E+00"/>
    <numFmt numFmtId="165" formatCode="0.0%"/>
    <numFmt numFmtId="166" formatCode="0.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vertAlign val="subscript"/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C00000"/>
      <name val="Calibri"/>
      <family val="2"/>
      <scheme val="minor"/>
    </font>
    <font>
      <vertAlign val="subscript"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0" fontId="1" fillId="0" borderId="7" xfId="0" applyFont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66" fontId="1" fillId="5" borderId="5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12" fillId="2" borderId="14" xfId="0" applyFont="1" applyFill="1" applyBorder="1" applyProtection="1"/>
    <xf numFmtId="0" fontId="13" fillId="7" borderId="15" xfId="0" applyFont="1" applyFill="1" applyBorder="1" applyProtection="1"/>
    <xf numFmtId="0" fontId="13" fillId="7" borderId="13" xfId="0" applyFont="1" applyFill="1" applyBorder="1" applyProtection="1"/>
    <xf numFmtId="166" fontId="12" fillId="7" borderId="14" xfId="0" applyNumberFormat="1" applyFont="1" applyFill="1" applyBorder="1" applyProtection="1"/>
    <xf numFmtId="2" fontId="12" fillId="3" borderId="15" xfId="0" applyNumberFormat="1" applyFont="1" applyFill="1" applyBorder="1" applyProtection="1"/>
    <xf numFmtId="2" fontId="12" fillId="3" borderId="14" xfId="0" applyNumberFormat="1" applyFont="1" applyFill="1" applyBorder="1" applyProtection="1"/>
    <xf numFmtId="2" fontId="12" fillId="3" borderId="16" xfId="0" applyNumberFormat="1" applyFont="1" applyFill="1" applyBorder="1" applyProtection="1"/>
    <xf numFmtId="0" fontId="7" fillId="2" borderId="11" xfId="0" applyFont="1" applyFill="1" applyBorder="1" applyAlignment="1" applyProtection="1">
      <alignment horizontal="right"/>
    </xf>
    <xf numFmtId="0" fontId="10" fillId="7" borderId="9" xfId="0" applyFont="1" applyFill="1" applyBorder="1" applyAlignment="1" applyProtection="1">
      <alignment horizontal="right"/>
    </xf>
    <xf numFmtId="0" fontId="10" fillId="7" borderId="10" xfId="0" applyFont="1" applyFill="1" applyBorder="1" applyAlignment="1" applyProtection="1">
      <alignment horizontal="right"/>
    </xf>
    <xf numFmtId="0" fontId="7" fillId="3" borderId="9" xfId="0" applyFont="1" applyFill="1" applyBorder="1" applyAlignment="1" applyProtection="1">
      <alignment horizontal="right"/>
    </xf>
    <xf numFmtId="0" fontId="7" fillId="3" borderId="11" xfId="0" applyFont="1" applyFill="1" applyBorder="1" applyAlignment="1" applyProtection="1">
      <alignment horizontal="right"/>
    </xf>
    <xf numFmtId="0" fontId="7" fillId="3" borderId="18" xfId="0" applyFont="1" applyFill="1" applyBorder="1" applyAlignment="1" applyProtection="1">
      <alignment horizontal="right"/>
    </xf>
    <xf numFmtId="0" fontId="7" fillId="3" borderId="24" xfId="0" applyFont="1" applyFill="1" applyBorder="1" applyAlignment="1" applyProtection="1">
      <alignment horizontal="right"/>
    </xf>
    <xf numFmtId="1" fontId="12" fillId="3" borderId="25" xfId="0" applyNumberFormat="1" applyFont="1" applyFill="1" applyBorder="1" applyProtection="1"/>
    <xf numFmtId="167" fontId="1" fillId="0" borderId="0" xfId="0" applyNumberFormat="1" applyFont="1" applyProtection="1"/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15" fillId="0" borderId="0" xfId="1" applyProtection="1"/>
    <xf numFmtId="10" fontId="1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NumberFormat="1" applyFont="1"/>
    <xf numFmtId="0" fontId="7" fillId="7" borderId="28" xfId="0" applyFont="1" applyFill="1" applyBorder="1" applyAlignment="1" applyProtection="1">
      <alignment horizontal="right"/>
    </xf>
    <xf numFmtId="0" fontId="7" fillId="7" borderId="27" xfId="0" applyFont="1" applyFill="1" applyBorder="1" applyAlignment="1" applyProtection="1">
      <alignment horizontal="right"/>
    </xf>
    <xf numFmtId="1" fontId="12" fillId="7" borderId="13" xfId="0" applyNumberFormat="1" applyFont="1" applyFill="1" applyBorder="1" applyProtection="1"/>
    <xf numFmtId="0" fontId="7" fillId="2" borderId="17" xfId="0" applyFont="1" applyFill="1" applyBorder="1" applyAlignment="1" applyProtection="1">
      <alignment horizontal="right"/>
    </xf>
    <xf numFmtId="164" fontId="12" fillId="2" borderId="12" xfId="0" applyNumberFormat="1" applyFont="1" applyFill="1" applyBorder="1" applyProtection="1"/>
    <xf numFmtId="0" fontId="1" fillId="0" borderId="26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/>
    <xf numFmtId="0" fontId="16" fillId="0" borderId="0" xfId="0" applyFont="1" applyAlignment="1">
      <alignment horizontal="left" indent="1"/>
    </xf>
    <xf numFmtId="0" fontId="1" fillId="0" borderId="0" xfId="0" applyNumberFormat="1" applyFont="1" applyProtection="1"/>
    <xf numFmtId="1" fontId="1" fillId="0" borderId="0" xfId="0" applyNumberFormat="1" applyFont="1" applyAlignment="1" applyProtection="1">
      <alignment horizontal="right"/>
    </xf>
    <xf numFmtId="1" fontId="1" fillId="0" borderId="0" xfId="0" applyNumberFormat="1" applyFont="1" applyBorder="1" applyAlignment="1" applyProtection="1">
      <alignment horizontal="right"/>
    </xf>
    <xf numFmtId="2" fontId="1" fillId="0" borderId="0" xfId="0" applyNumberFormat="1" applyFont="1" applyAlignment="1" applyProtection="1"/>
    <xf numFmtId="2" fontId="12" fillId="0" borderId="0" xfId="0" applyNumberFormat="1" applyFont="1" applyFill="1" applyBorder="1" applyProtection="1"/>
    <xf numFmtId="1" fontId="12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right" vertical="center"/>
    </xf>
    <xf numFmtId="0" fontId="16" fillId="0" borderId="0" xfId="0" applyFont="1"/>
    <xf numFmtId="165" fontId="1" fillId="0" borderId="0" xfId="0" applyNumberFormat="1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" fillId="3" borderId="22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center"/>
    </xf>
    <xf numFmtId="0" fontId="1" fillId="7" borderId="22" xfId="0" applyFont="1" applyFill="1" applyBorder="1" applyAlignment="1" applyProtection="1">
      <alignment horizontal="center"/>
    </xf>
    <xf numFmtId="0" fontId="1" fillId="7" borderId="20" xfId="0" applyFont="1" applyFill="1" applyBorder="1" applyAlignment="1" applyProtection="1">
      <alignment horizontal="center"/>
    </xf>
    <xf numFmtId="0" fontId="1" fillId="7" borderId="21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4" fillId="8" borderId="3" xfId="0" applyFont="1" applyFill="1" applyBorder="1" applyAlignment="1" applyProtection="1">
      <alignment horizontal="center"/>
    </xf>
    <xf numFmtId="0" fontId="14" fillId="8" borderId="29" xfId="0" applyFont="1" applyFill="1" applyBorder="1" applyAlignment="1" applyProtection="1">
      <alignment horizontal="center"/>
    </xf>
    <xf numFmtId="0" fontId="14" fillId="8" borderId="4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sqref="A1:B1"/>
    </sheetView>
  </sheetViews>
  <sheetFormatPr defaultRowHeight="15.5" x14ac:dyDescent="0.35"/>
  <cols>
    <col min="1" max="1" width="23.453125" style="1" customWidth="1"/>
    <col min="2" max="2" width="18.453125" style="1" customWidth="1"/>
    <col min="3" max="16384" width="8.7265625" style="1"/>
  </cols>
  <sheetData>
    <row r="1" spans="1:6" ht="32" customHeight="1" x14ac:dyDescent="0.35">
      <c r="A1" s="60" t="s">
        <v>48</v>
      </c>
      <c r="B1" s="60"/>
    </row>
    <row r="2" spans="1:6" ht="15.5" customHeight="1" x14ac:dyDescent="0.35">
      <c r="A2" s="56" t="s">
        <v>14</v>
      </c>
      <c r="B2" s="57"/>
    </row>
    <row r="3" spans="1:6" x14ac:dyDescent="0.35">
      <c r="A3" s="3" t="s">
        <v>17</v>
      </c>
      <c r="B3" s="5" t="s">
        <v>12</v>
      </c>
    </row>
    <row r="4" spans="1:6" x14ac:dyDescent="0.35">
      <c r="A4" s="4" t="s">
        <v>13</v>
      </c>
      <c r="B4" s="5" t="s">
        <v>15</v>
      </c>
    </row>
    <row r="5" spans="1:6" ht="17.5" x14ac:dyDescent="0.35">
      <c r="A5" s="4" t="s">
        <v>9</v>
      </c>
      <c r="B5" s="5">
        <v>68</v>
      </c>
    </row>
    <row r="6" spans="1:6" ht="17.5" x14ac:dyDescent="0.35">
      <c r="A6" s="4" t="s">
        <v>8</v>
      </c>
      <c r="B6" s="5">
        <v>20</v>
      </c>
    </row>
    <row r="7" spans="1:6" x14ac:dyDescent="0.35">
      <c r="A7" s="4" t="s">
        <v>10</v>
      </c>
      <c r="B7" s="5">
        <v>0</v>
      </c>
    </row>
    <row r="8" spans="1:6" x14ac:dyDescent="0.35">
      <c r="A8" s="4" t="s">
        <v>42</v>
      </c>
      <c r="B8" s="5">
        <v>0.61</v>
      </c>
      <c r="C8" s="45" t="str">
        <f>IF(Test_type=Single_Point,"pressure exponent value (n) is not considered for Single Point tests","")</f>
        <v>pressure exponent value (n) is not considered for Single Point tests</v>
      </c>
    </row>
    <row r="9" spans="1:6" x14ac:dyDescent="0.35">
      <c r="A9" s="4" t="s">
        <v>27</v>
      </c>
      <c r="B9" s="31">
        <v>-0.2</v>
      </c>
    </row>
    <row r="10" spans="1:6" ht="20.5" x14ac:dyDescent="0.35">
      <c r="A10" s="52" t="s">
        <v>45</v>
      </c>
      <c r="B10" s="51">
        <v>900</v>
      </c>
      <c r="C10" s="45"/>
      <c r="D10" s="6"/>
    </row>
    <row r="11" spans="1:6" ht="17.5" x14ac:dyDescent="0.35">
      <c r="A11" s="42" t="s">
        <v>39</v>
      </c>
      <c r="B11" s="43">
        <v>18000</v>
      </c>
      <c r="C11" s="45"/>
      <c r="D11" s="6"/>
    </row>
    <row r="12" spans="1:6" x14ac:dyDescent="0.35">
      <c r="A12" s="58" t="s">
        <v>43</v>
      </c>
      <c r="B12" s="59"/>
    </row>
    <row r="13" spans="1:6" ht="17.5" x14ac:dyDescent="0.35">
      <c r="A13" s="3" t="s">
        <v>26</v>
      </c>
      <c r="B13" s="9" t="str">
        <f>IF(Test_type=Multi_Point,IF(PresExp&gt;0,IF(Test_method=Pres,C0_Pres,C0_dePres),"error"),"")</f>
        <v/>
      </c>
      <c r="C13" s="45" t="str">
        <f>IF(C0="error", "pressure exponent value (n) is required for Multi Point tests","")</f>
        <v/>
      </c>
      <c r="D13" s="2"/>
      <c r="E13" s="54"/>
      <c r="F13" s="2"/>
    </row>
    <row r="14" spans="1:6" x14ac:dyDescent="0.35">
      <c r="A14" s="7" t="s">
        <v>40</v>
      </c>
      <c r="B14" s="8">
        <f>IF(Test_type=Multi_Point,C0*50^PresExp,IF(Test_method=Pres,(Q0_test*(50/(50-Baseline_P))^0.65)*(μin/μ0)^(0.3)*(ρin/ρ0)^(0.35),(Q0_test*(50/(50+Baseline_P))^0.65)*(μout/μ0)^(0.3)*(ρout/ρ0)^(0.35)))</f>
        <v>829.36399802822496</v>
      </c>
    </row>
    <row r="15" spans="1:6" x14ac:dyDescent="0.35">
      <c r="A15" s="7" t="s">
        <v>47</v>
      </c>
      <c r="B15" s="8">
        <f>IF(Test_type=Single_Point,corrected_cfm50*1.1,"")</f>
        <v>912.30039783104758</v>
      </c>
      <c r="C15" s="45" t="str">
        <f>IF(Test_type=Multi_Point,"correction is not required for Multi Point tests","")</f>
        <v/>
      </c>
    </row>
    <row r="16" spans="1:6" ht="17.5" x14ac:dyDescent="0.35">
      <c r="A16" s="7" t="s">
        <v>22</v>
      </c>
      <c r="B16" s="10">
        <f>IF(Test_type=Multi_Point,C0*0.567*4^(PresExp-0.5),corrected_cfm50/18.2)</f>
        <v>45.569450441111265</v>
      </c>
      <c r="C16" s="2"/>
      <c r="E16" s="36"/>
      <c r="F16" s="2"/>
    </row>
    <row r="17" spans="1:5" x14ac:dyDescent="0.35">
      <c r="A17" s="7" t="s">
        <v>41</v>
      </c>
      <c r="B17" s="10">
        <f>corrected_cfm50*60/InfVol</f>
        <v>2.7645466600940836</v>
      </c>
    </row>
    <row r="18" spans="1:5" x14ac:dyDescent="0.35">
      <c r="A18" s="55" t="s">
        <v>46</v>
      </c>
      <c r="B18" s="10">
        <f>IF(Test_type=Single_Point,corrected_ach50*1.1,"")</f>
        <v>3.0410013261034923</v>
      </c>
      <c r="C18" s="45" t="str">
        <f>IF(Test_type=Multi_Point,"correction is not required for Multi Point tests","")</f>
        <v/>
      </c>
    </row>
    <row r="19" spans="1:5" ht="47.5" customHeight="1" x14ac:dyDescent="0.35">
      <c r="A19" s="61" t="s">
        <v>44</v>
      </c>
      <c r="B19" s="61"/>
      <c r="C19" s="61"/>
      <c r="D19" s="61"/>
      <c r="E19" s="61"/>
    </row>
    <row r="20" spans="1:5" x14ac:dyDescent="0.35">
      <c r="A20" s="53"/>
    </row>
    <row r="21" spans="1:5" x14ac:dyDescent="0.35">
      <c r="A21" s="2"/>
    </row>
    <row r="22" spans="1:5" x14ac:dyDescent="0.35">
      <c r="A22" s="2"/>
    </row>
    <row r="23" spans="1:5" x14ac:dyDescent="0.35">
      <c r="A23" s="2"/>
    </row>
    <row r="24" spans="1:5" x14ac:dyDescent="0.35">
      <c r="A24" s="2"/>
    </row>
  </sheetData>
  <sheetProtection algorithmName="SHA-512" hashValue="Wslsjgz5xAHxRtVM0TOe2WTdtWvD4uJk8ayovuQxMb1As2s1DXjN4pKepzSG3XWTUmJBX6T71E0wJS+XVF9jUQ==" saltValue="sFEPH4F3i5kXL06RiuNogw==" spinCount="100000" sheet="1" objects="1" scenarios="1"/>
  <mergeCells count="4">
    <mergeCell ref="A2:B2"/>
    <mergeCell ref="A12:B12"/>
    <mergeCell ref="A1:B1"/>
    <mergeCell ref="A19:E19"/>
  </mergeCells>
  <dataValidations count="3">
    <dataValidation type="decimal" showInputMessage="1" showErrorMessage="1" error="This must be a decimal value between 0.50 and 0.99" sqref="B8">
      <formula1>0.5</formula1>
      <formula2>0.99</formula2>
    </dataValidation>
    <dataValidation allowBlank="1" showInputMessage="1" showErrorMessage="1" error="Value must be a decimal between 0.50 and 0.99" sqref="B6"/>
    <dataValidation operator="notBetween" allowBlank="1" showInputMessage="1" showErrorMessage="1" error="This must be a decimal value between 0.50 and 0.99" sqref="B9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Must select value from pull-down menu">
          <x14:formula1>
            <xm:f>Calcs!$L$3:$L$4</xm:f>
          </x14:formula1>
          <xm:sqref>B3</xm:sqref>
        </x14:dataValidation>
        <x14:dataValidation type="list" allowBlank="1" showErrorMessage="1" error="Must select value from pull-down menu">
          <x14:formula1>
            <xm:f>Calcs!$L$5:$L$6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zoomScaleNormal="100" workbookViewId="0">
      <selection activeCell="L11" sqref="L11"/>
    </sheetView>
  </sheetViews>
  <sheetFormatPr defaultRowHeight="15.5" x14ac:dyDescent="0.35"/>
  <cols>
    <col min="1" max="1" width="1.36328125" style="11" customWidth="1"/>
    <col min="2" max="2" width="10" style="11" bestFit="1" customWidth="1"/>
    <col min="3" max="3" width="7.6328125" style="11" customWidth="1"/>
    <col min="4" max="11" width="8.7265625" style="11" customWidth="1"/>
    <col min="12" max="17" width="8.6328125" style="11" customWidth="1"/>
    <col min="18" max="16384" width="8.7265625" style="11"/>
  </cols>
  <sheetData>
    <row r="1" spans="2:17" ht="6" customHeight="1" x14ac:dyDescent="0.35"/>
    <row r="2" spans="2:17" ht="18.5" x14ac:dyDescent="0.45">
      <c r="B2" s="71" t="s">
        <v>30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2:17" ht="18.5" customHeight="1" x14ac:dyDescent="0.45">
      <c r="B3" s="13" t="s">
        <v>23</v>
      </c>
      <c r="L3" s="12" t="s">
        <v>11</v>
      </c>
    </row>
    <row r="4" spans="2:17" ht="18.5" customHeight="1" x14ac:dyDescent="0.45">
      <c r="B4" s="13" t="s">
        <v>24</v>
      </c>
      <c r="L4" s="12" t="s">
        <v>12</v>
      </c>
    </row>
    <row r="5" spans="2:17" ht="18.5" customHeight="1" x14ac:dyDescent="0.35">
      <c r="B5" s="13" t="s">
        <v>1</v>
      </c>
      <c r="L5" s="12" t="s">
        <v>15</v>
      </c>
    </row>
    <row r="6" spans="2:17" ht="18.5" customHeight="1" x14ac:dyDescent="0.35">
      <c r="B6" s="14" t="s">
        <v>25</v>
      </c>
      <c r="L6" s="12" t="s">
        <v>16</v>
      </c>
    </row>
    <row r="7" spans="2:17" ht="18.5" customHeight="1" x14ac:dyDescent="0.45">
      <c r="B7" s="14" t="s">
        <v>0</v>
      </c>
    </row>
    <row r="8" spans="2:17" ht="16" thickBot="1" x14ac:dyDescent="0.4"/>
    <row r="9" spans="2:17" ht="18.5" customHeight="1" thickTop="1" thickBot="1" x14ac:dyDescent="0.4">
      <c r="B9" s="69" t="s">
        <v>6</v>
      </c>
      <c r="C9" s="70"/>
      <c r="D9" s="66" t="s">
        <v>7</v>
      </c>
      <c r="E9" s="67"/>
      <c r="F9" s="67"/>
      <c r="G9" s="67"/>
      <c r="H9" s="67"/>
      <c r="I9" s="67"/>
      <c r="J9" s="67"/>
      <c r="K9" s="68"/>
      <c r="L9" s="62" t="s">
        <v>5</v>
      </c>
      <c r="M9" s="63"/>
      <c r="N9" s="64"/>
      <c r="O9" s="63" t="s">
        <v>4</v>
      </c>
      <c r="P9" s="63"/>
      <c r="Q9" s="65"/>
    </row>
    <row r="10" spans="2:17" ht="18.5" customHeight="1" thickBot="1" x14ac:dyDescent="0.5">
      <c r="B10" s="40" t="s">
        <v>3</v>
      </c>
      <c r="C10" s="22" t="s">
        <v>2</v>
      </c>
      <c r="D10" s="23" t="s">
        <v>18</v>
      </c>
      <c r="E10" s="24" t="s">
        <v>19</v>
      </c>
      <c r="F10" s="24" t="s">
        <v>32</v>
      </c>
      <c r="G10" s="24" t="s">
        <v>20</v>
      </c>
      <c r="H10" s="24" t="s">
        <v>21</v>
      </c>
      <c r="I10" s="24" t="s">
        <v>38</v>
      </c>
      <c r="J10" s="38" t="s">
        <v>33</v>
      </c>
      <c r="K10" s="37" t="s">
        <v>31</v>
      </c>
      <c r="L10" s="25" t="s">
        <v>28</v>
      </c>
      <c r="M10" s="28" t="s">
        <v>34</v>
      </c>
      <c r="N10" s="26" t="s">
        <v>35</v>
      </c>
      <c r="O10" s="25" t="s">
        <v>29</v>
      </c>
      <c r="P10" s="28" t="s">
        <v>36</v>
      </c>
      <c r="Q10" s="27" t="s">
        <v>37</v>
      </c>
    </row>
    <row r="11" spans="2:17" ht="18.5" customHeight="1" thickBot="1" x14ac:dyDescent="0.4">
      <c r="B11" s="41">
        <f>0.002629</f>
        <v>2.6289999999999998E-3</v>
      </c>
      <c r="C11" s="15">
        <v>198.7</v>
      </c>
      <c r="D11" s="16">
        <f>0.07517*(1-(0.0035666*Elevation/528))^5.2553*(528/(Tin+460))</f>
        <v>7.5170000000000001E-2</v>
      </c>
      <c r="E11" s="17">
        <f xml:space="preserve"> 0.07517*(1-(0.0035666*Elevation/528))^5.2553*(528/(Tout+460))</f>
        <v>8.268700000000001E-2</v>
      </c>
      <c r="F11" s="17">
        <f xml:space="preserve"> 0.07517*(1-(0.0035666*0/528))^5.2553*(528/(68+460))</f>
        <v>7.5170000000000001E-2</v>
      </c>
      <c r="G11" s="17">
        <f xml:space="preserve"> (b*(Tin+460)^0.5)/(1+s/(Tin+460))</f>
        <v>4.3892094919010298E-2</v>
      </c>
      <c r="H11" s="17">
        <f xml:space="preserve"> (b*(Tout+460)^0.5)/(1+s/(Tout+460))</f>
        <v>4.0735644600967687E-2</v>
      </c>
      <c r="I11" s="17">
        <f xml:space="preserve"> (b*(68+460)^0.5)/(1+s/(68+460))</f>
        <v>4.3892094919010298E-2</v>
      </c>
      <c r="J11" s="39">
        <f>IF(Test_method=Pres,Q0_Pres,Q0_dePres)</f>
        <v>818.18181818181802</v>
      </c>
      <c r="K11" s="18">
        <f>IF(Test_method=Pres,IF(Test_type=Multi_Point,Q0_test/(50-Baseline_P)^PresExp,Q0_test/(50-Baseline_P)^0.65),IF(Test_type=Multi_Point,Q0_test/(50+Baseline_P)^PresExp,Q0_test/(50+Baseline_P)^0.65))</f>
        <v>64.51352191352737</v>
      </c>
      <c r="L11" s="19">
        <f>IF(Test_type=Single_Point,0.65,PresExp)</f>
        <v>0.65</v>
      </c>
      <c r="M11" s="29">
        <f>fan_cfm50*(ρ0/ρout)^0.5*(ρout/ρin)</f>
        <v>943.92796335313642</v>
      </c>
      <c r="N11" s="20">
        <f xml:space="preserve"> C_*(μin/μ0)^(2*n_Pres-1)*(ρin/ρ0)^(1-n_Pres)</f>
        <v>64.51352191352737</v>
      </c>
      <c r="O11" s="19">
        <f>IF(Test_type=Single_Point,0.65,PresExp)</f>
        <v>0.65</v>
      </c>
      <c r="P11" s="29">
        <f>fan_cfm50*(ρ0/ρin)^0.5*(ρin/ρout)</f>
        <v>818.18181818181802</v>
      </c>
      <c r="Q11" s="21">
        <f xml:space="preserve"> C_*(μout/μ0)^(2*n_dePres-1)*(ρout/ρ0)^(1-n_dePres)</f>
        <v>65.225088384548201</v>
      </c>
    </row>
    <row r="12" spans="2:17" ht="16" thickTop="1" x14ac:dyDescent="0.35">
      <c r="M12" s="46"/>
      <c r="P12" s="30"/>
    </row>
    <row r="13" spans="2:17" x14ac:dyDescent="0.35">
      <c r="M13" s="47"/>
      <c r="N13" s="49"/>
      <c r="O13" s="44"/>
      <c r="P13" s="48"/>
      <c r="Q13" s="50"/>
    </row>
    <row r="14" spans="2:17" x14ac:dyDescent="0.35">
      <c r="B14" s="35"/>
    </row>
    <row r="15" spans="2:17" x14ac:dyDescent="0.35">
      <c r="B15" s="35"/>
      <c r="G15" s="12"/>
    </row>
    <row r="16" spans="2:17" x14ac:dyDescent="0.35">
      <c r="B16" s="32"/>
      <c r="G16" s="33"/>
    </row>
    <row r="17" spans="2:8" x14ac:dyDescent="0.35">
      <c r="B17" s="32"/>
      <c r="G17"/>
      <c r="H17"/>
    </row>
    <row r="18" spans="2:8" x14ac:dyDescent="0.35">
      <c r="C18"/>
      <c r="D18"/>
      <c r="E18"/>
    </row>
    <row r="25" spans="2:8" x14ac:dyDescent="0.35">
      <c r="C25" s="34"/>
      <c r="D25" s="34"/>
      <c r="E25" s="34"/>
    </row>
  </sheetData>
  <sheetProtection algorithmName="SHA-512" hashValue="B0C9RPwjwKbHIFS3PazEr0PAKrepv/JmScPkfaRiD3XxO3eVlB44h6UT6GNwqefJeUBrTlJecl/3nGxb4HKsIQ==" saltValue="YClPQhGHCgmbTvUzWtE8mA==" spinCount="100000" sheet="1" objects="1" scenarios="1"/>
  <mergeCells count="5">
    <mergeCell ref="L9:N9"/>
    <mergeCell ref="O9:Q9"/>
    <mergeCell ref="D9:K9"/>
    <mergeCell ref="B9:C9"/>
    <mergeCell ref="B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33</vt:i4>
      </vt:variant>
    </vt:vector>
  </HeadingPairs>
  <TitlesOfParts>
    <vt:vector size="35" baseType="lpstr">
      <vt:lpstr>cfm50_correct</vt:lpstr>
      <vt:lpstr>Calcs</vt:lpstr>
      <vt:lpstr>b</vt:lpstr>
      <vt:lpstr>Baseline_P</vt:lpstr>
      <vt:lpstr>C_</vt:lpstr>
      <vt:lpstr>C0</vt:lpstr>
      <vt:lpstr>C0_dePres</vt:lpstr>
      <vt:lpstr>C0_Pres</vt:lpstr>
      <vt:lpstr>corrected_ach50</vt:lpstr>
      <vt:lpstr>corrected_cfm50</vt:lpstr>
      <vt:lpstr>dePres</vt:lpstr>
      <vt:lpstr>ELA</vt:lpstr>
      <vt:lpstr>Elevation</vt:lpstr>
      <vt:lpstr>fan_cfm50</vt:lpstr>
      <vt:lpstr>InfVol</vt:lpstr>
      <vt:lpstr>Multi_Point</vt:lpstr>
      <vt:lpstr>n_dePres</vt:lpstr>
      <vt:lpstr>n_Pres</vt:lpstr>
      <vt:lpstr>Pres</vt:lpstr>
      <vt:lpstr>PresExp</vt:lpstr>
      <vt:lpstr>Q0_dePres</vt:lpstr>
      <vt:lpstr>Q0_Pres</vt:lpstr>
      <vt:lpstr>Q0_test</vt:lpstr>
      <vt:lpstr>s</vt:lpstr>
      <vt:lpstr>Single_Point</vt:lpstr>
      <vt:lpstr>Test_method</vt:lpstr>
      <vt:lpstr>Test_type</vt:lpstr>
      <vt:lpstr>Tin</vt:lpstr>
      <vt:lpstr>Tout</vt:lpstr>
      <vt:lpstr>μ0</vt:lpstr>
      <vt:lpstr>μin</vt:lpstr>
      <vt:lpstr>μout</vt:lpstr>
      <vt:lpstr>ρ0</vt:lpstr>
      <vt:lpstr>ρin</vt:lpstr>
      <vt:lpstr>ρout</vt:lpstr>
    </vt:vector>
  </TitlesOfParts>
  <Company>FSEC/BR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</dc:creator>
  <cp:lastModifiedBy>Philip Fairey</cp:lastModifiedBy>
  <dcterms:created xsi:type="dcterms:W3CDTF">2018-06-30T12:48:34Z</dcterms:created>
  <dcterms:modified xsi:type="dcterms:W3CDTF">2020-06-29T17:48:59Z</dcterms:modified>
</cp:coreProperties>
</file>