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yanm\Dropbox\RESNET\Water\Pilot Projects\"/>
    </mc:Choice>
  </mc:AlternateContent>
  <bookViews>
    <workbookView xWindow="0" yWindow="0" windowWidth="23040" windowHeight="9192" tabRatio="694" activeTab="1"/>
  </bookViews>
  <sheets>
    <sheet name="Instructions" sheetId="3" r:id="rId1"/>
    <sheet name="Water Use Calcs" sheetId="1" r:id="rId2"/>
  </sheets>
  <definedNames>
    <definedName name="ACY">'Water Use Calcs'!$B$60</definedName>
    <definedName name="adjFmix">'Water Use Calcs'!$E$62</definedName>
    <definedName name="AGC">'Water Use Calcs'!$B$58</definedName>
    <definedName name="branchL">'Water Use Calcs'!$B$12</definedName>
    <definedName name="Bsmt">'Water Use Calcs'!$I$7</definedName>
    <definedName name="CAPw">'Water Use Calcs'!$B$54</definedName>
    <definedName name="CFA">'Water Use Calcs'!$I$4</definedName>
    <definedName name="ColdW_gpd">'Water Use Calcs'!$E$14</definedName>
    <definedName name="CW_gpd">'Water Use Calcs'!$E$8:$G$8</definedName>
    <definedName name="cwFmix">'Water Use Calcs'!$B$69</definedName>
    <definedName name="CWgpd">'Water Use Calcs'!$B$66</definedName>
    <definedName name="CWhot">'Water Use Calcs'!$B$70</definedName>
    <definedName name="CWtemp">'Water Use Calcs'!$B$68</definedName>
    <definedName name="CWtot_gpd">'Water Use Calcs'!$G$8</definedName>
    <definedName name="CWwf">'Water Use Calcs'!$I$11</definedName>
    <definedName name="DW_EF">'Water Use Calcs'!$B$62</definedName>
    <definedName name="DW_gpd">'Water Use Calcs'!$E$9:$G$9</definedName>
    <definedName name="dWcap">'Water Use Calcs'!$B$61</definedName>
    <definedName name="DWgpd">'Water Use Calcs'!$B$65</definedName>
    <definedName name="DWHReff">'Water Use Calcs'!$I$55</definedName>
    <definedName name="DWHRinT">'Water Use Calcs'!$I$57</definedName>
    <definedName name="expA">'Water Use Calcs'!$H$30</definedName>
    <definedName name="expAref">'Water Use Calcs'!$F$30</definedName>
    <definedName name="expB">'Water Use Calcs'!$H$31</definedName>
    <definedName name="expBref">'Water Use Calcs'!$F$31</definedName>
    <definedName name="F_eff">'Water Use Calcs'!$G$64</definedName>
    <definedName name="faucet_pc">'Water Use Calcs'!$G$57</definedName>
    <definedName name="FixF">'Water Use Calcs'!$I$60</definedName>
    <definedName name="FixtureHot">'Water Use Calcs'!$G$53</definedName>
    <definedName name="FixtureTot">'Water Use Calcs'!$G$54</definedName>
    <definedName name="Fmix">'Water Use Calcs'!$E$61</definedName>
    <definedName name="gdp_ratio">'Water Use Calcs'!$I$68</definedName>
    <definedName name="gpf">'Water Use Calcs'!$I$13</definedName>
    <definedName name="HotOther_br">'Water Use Calcs'!$B$51</definedName>
    <definedName name="HW_Leaks">'Water Use Calcs'!$F$12</definedName>
    <definedName name="HWgpd">'Water Use Calcs'!$F$14</definedName>
    <definedName name="Ifrac">'Water Use Calcs'!$I$58</definedName>
    <definedName name="kitch">'Water Use Calcs'!$G$61</definedName>
    <definedName name="Kitch_pc">'Water Use Calcs'!$G$58</definedName>
    <definedName name="kitch_Ref_gpm">'Water Use Calcs'!$G$63</definedName>
    <definedName name="KitchF_gpd">'Water Use Calcs'!$E$5:$G$5</definedName>
    <definedName name="KitchFeff">'Water Use Calcs'!$E$59</definedName>
    <definedName name="kWh_cost">'Water Use Calcs'!$B$56</definedName>
    <definedName name="Landscape_Area">'Water Use Calcs'!$B$17</definedName>
    <definedName name="lav">'Water Use Calcs'!$G$62</definedName>
    <definedName name="Lav_pc">'Water Use Calcs'!$G$59</definedName>
    <definedName name="LavF_gpd">'Water Use Calcs'!$E$6:$G$6</definedName>
    <definedName name="LavFeff">'Water Use Calcs'!$E$60</definedName>
    <definedName name="LER">'Water Use Calcs'!$B$55</definedName>
    <definedName name="LocF">'Water Use Calcs'!$I$59</definedName>
    <definedName name="loopL">'Water Use Calcs'!$B$11</definedName>
    <definedName name="Lot_Area">'Water Use Calcs'!$B$16</definedName>
    <definedName name="Lot_size">'Water Use Calcs'!$B$22</definedName>
    <definedName name="Nbr">'Water Use Calcs'!$I$5</definedName>
    <definedName name="NCY">'Water Use Calcs'!$B$59</definedName>
    <definedName name="NetET">'Water Use Calcs'!$B$31</definedName>
    <definedName name="Nfl">'Water Use Calcs'!$I$6</definedName>
    <definedName name="Occ">'Water Use Calcs'!$I$53</definedName>
    <definedName name="oCDeff">'Water Use Calcs'!$K$55</definedName>
    <definedName name="oEWfact">'Water Use Calcs'!$E$68</definedName>
    <definedName name="oFrac">'Water Use Calcs'!$K$54</definedName>
    <definedName name="Out_base">'Water Use Calcs'!#REF!</definedName>
    <definedName name="Out_baseRef">'Water Use Calcs'!#REF!</definedName>
    <definedName name="Out_gpd">'Water Use Calcs'!$B$36</definedName>
    <definedName name="Out_Pool">'Water Use Calcs'!#REF!</definedName>
    <definedName name="Out_PoolRef">'Water Use Calcs'!#REF!</definedName>
    <definedName name="Out_Sprink">'Water Use Calcs'!#REF!</definedName>
    <definedName name="Out_SprinkRef">'Water Use Calcs'!#REF!</definedName>
    <definedName name="OutRef_gpd">'Water Use Calcs'!$B$29</definedName>
    <definedName name="oWgpd">'Water Use Calcs'!$E$66</definedName>
    <definedName name="percent_landscape">'Water Use Calcs'!#REF!</definedName>
    <definedName name="PipeL">'Water Use Calcs'!$B$10</definedName>
    <definedName name="PLC">'Water Use Calcs'!$I$61</definedName>
    <definedName name="PLCfact">'Water Use Calcs'!$I$62</definedName>
    <definedName name="pLength">'Water Use Calcs'!$I$66</definedName>
    <definedName name="pool_ind">'Water Use Calcs'!$B$33</definedName>
    <definedName name="pRatio">'Water Use Calcs'!$I$64</definedName>
    <definedName name="pumpW">'Water Use Calcs'!$B$13</definedName>
    <definedName name="Ref_Irr_Area">'Water Use Calcs'!$B$30</definedName>
    <definedName name="refCWgpd">'Water Use Calcs'!$B$64</definedName>
    <definedName name="refDWgpd">'Water Use Calcs'!$B$63</definedName>
    <definedName name="refFgpd">'Water Use Calcs'!$E$64</definedName>
    <definedName name="refFPO">'Water Use Calcs'!$E$54</definedName>
    <definedName name="refGPF">'Water Use Calcs'!$E$53</definedName>
    <definedName name="refLoopL">'Water Use Calcs'!$B$26</definedName>
    <definedName name="refPipeL">'Water Use Calcs'!$B$25</definedName>
    <definedName name="refSofgpd">'Water Use Calcs'!$B$41</definedName>
    <definedName name="refWgpd">'Water Use Calcs'!$E$63</definedName>
    <definedName name="RICI_Rat">'Water Use Calcs'!$B$34</definedName>
    <definedName name="Rici_Ref">'Water Use Calcs'!$B$35</definedName>
    <definedName name="sEWfact">'Water Use Calcs'!$E$69</definedName>
    <definedName name="Sh_ref_gpm">'Water Use Calcs'!$G$55</definedName>
    <definedName name="SHeff">'Water Use Calcs'!$G$60</definedName>
    <definedName name="Shower_gpd">'Water Use Calcs'!$E$4:$G$4</definedName>
    <definedName name="shower_pc">'Water Use Calcs'!$G$56</definedName>
    <definedName name="Soft_gpd">'Water Use Calcs'!$B$43</definedName>
    <definedName name="Soft_ref">'Water Use Calcs'!$B$41</definedName>
    <definedName name="sprink_ind">'Water Use Calcs'!$B$32</definedName>
    <definedName name="Static_Pressure">'Water Use Calcs'!$I$24</definedName>
    <definedName name="sWgpd">'Water Use Calcs'!$E$67</definedName>
    <definedName name="sysFactor">'Water Use Calcs'!$I$65</definedName>
    <definedName name="Tavg">'Water Use Calcs'!$E$56</definedName>
    <definedName name="therm_cost">'Water Use Calcs'!$B$57</definedName>
    <definedName name="Tmains">'Water Use Calcs'!$K$7</definedName>
    <definedName name="Tmains_offset">'Water Use Calcs'!$K$51</definedName>
    <definedName name="Toilets_gpd">'Water Use Calcs'!$G$10</definedName>
    <definedName name="Tot_Other">'Water Use Calcs'!$G$12</definedName>
    <definedName name="TotOther_br">'Water Use Calcs'!$B$52</definedName>
    <definedName name="Tset">'Water Use Calcs'!$E$57</definedName>
    <definedName name="Tuse">'Water Use Calcs'!$E$58</definedName>
    <definedName name="VC">'Water Use Calcs'!$I$61</definedName>
    <definedName name="VintFact">'Water Use Calcs'!$K$53</definedName>
    <definedName name="Waste_gpd">'Water Use Calcs'!$E$7:$G$7</definedName>
    <definedName name="WDeff">'Water Use Calcs'!$I$54</definedName>
    <definedName name="WHinT">'Water Use Calcs'!$K$9</definedName>
    <definedName name="WHinTadj">'Water Use Calcs'!$K$8</definedName>
  </definedNames>
  <calcPr calcId="162913"/>
</workbook>
</file>

<file path=xl/calcChain.xml><?xml version="1.0" encoding="utf-8"?>
<calcChain xmlns="http://schemas.openxmlformats.org/spreadsheetml/2006/main">
  <c r="B22" i="1" l="1"/>
  <c r="B13" i="1" l="1"/>
  <c r="B12" i="1"/>
  <c r="E56" i="1" l="1"/>
  <c r="B38" i="1"/>
  <c r="D31" i="1"/>
  <c r="B31" i="1"/>
  <c r="I16" i="1" l="1"/>
  <c r="I54" i="1" l="1"/>
  <c r="I53" i="1"/>
  <c r="G10" i="1" l="1"/>
  <c r="K7" i="1"/>
  <c r="I55" i="1"/>
  <c r="G60" i="1"/>
  <c r="E59" i="1"/>
  <c r="G62" i="1"/>
  <c r="G57" i="1"/>
  <c r="E60" i="1"/>
  <c r="B32" i="1"/>
  <c r="B33" i="1"/>
  <c r="F22" i="1"/>
  <c r="E10" i="1"/>
  <c r="B52" i="1"/>
  <c r="B51" i="1"/>
  <c r="I11" i="1"/>
  <c r="B64" i="1"/>
  <c r="B59" i="1"/>
  <c r="E64" i="1"/>
  <c r="E63" i="1"/>
  <c r="I58" i="1"/>
  <c r="N47" i="1"/>
  <c r="N48" i="1"/>
  <c r="N22" i="1"/>
  <c r="N21" i="1"/>
  <c r="N20" i="1"/>
  <c r="B62" i="1"/>
  <c r="B61" i="1"/>
  <c r="B58" i="1"/>
  <c r="B57" i="1"/>
  <c r="B56" i="1"/>
  <c r="B55" i="1"/>
  <c r="B54" i="1"/>
  <c r="I65" i="1"/>
  <c r="N46" i="1"/>
  <c r="N45" i="1"/>
  <c r="E68" i="1"/>
  <c r="B63" i="1"/>
  <c r="I60" i="1"/>
  <c r="I59" i="1"/>
  <c r="B25" i="1"/>
  <c r="I57" i="1"/>
  <c r="B30" i="1"/>
  <c r="E66" i="1" l="1"/>
  <c r="F12" i="1"/>
  <c r="G12" i="1"/>
  <c r="G58" i="1"/>
  <c r="E69" i="1"/>
  <c r="B20" i="1"/>
  <c r="B17" i="1"/>
  <c r="B26" i="1"/>
  <c r="B10" i="1"/>
  <c r="I64" i="1" s="1"/>
  <c r="B39" i="1"/>
  <c r="B41" i="1" s="1"/>
  <c r="F31" i="1"/>
  <c r="G59" i="1"/>
  <c r="G64" i="1" s="1"/>
  <c r="B60" i="1"/>
  <c r="F30" i="1"/>
  <c r="E12" i="1"/>
  <c r="B65" i="1"/>
  <c r="B19" i="1"/>
  <c r="E61" i="1"/>
  <c r="F17" i="1" s="1"/>
  <c r="F32" i="1" l="1"/>
  <c r="G17" i="1"/>
  <c r="E17" i="1" s="1"/>
  <c r="E67" i="1"/>
  <c r="B11" i="1"/>
  <c r="B34" i="1"/>
  <c r="F33" i="1"/>
  <c r="B21" i="1"/>
  <c r="G7" i="1"/>
  <c r="G9" i="1"/>
  <c r="F9" i="1"/>
  <c r="B66" i="1"/>
  <c r="G8" i="1"/>
  <c r="H30" i="1"/>
  <c r="H31" i="1"/>
  <c r="I66" i="1"/>
  <c r="F19" i="1"/>
  <c r="F34" i="1"/>
  <c r="F37" i="1"/>
  <c r="F8" i="1" l="1"/>
  <c r="I61" i="1"/>
  <c r="K8" i="1" s="1"/>
  <c r="E62" i="1"/>
  <c r="K9" i="1"/>
  <c r="E8" i="1"/>
  <c r="H33" i="1"/>
  <c r="H34" i="1"/>
  <c r="H32" i="1"/>
  <c r="H37" i="1"/>
  <c r="H38" i="1" s="1"/>
  <c r="B29" i="1" s="1"/>
  <c r="F35" i="1"/>
  <c r="F36" i="1" s="1"/>
  <c r="G54" i="1" l="1"/>
  <c r="G53" i="1"/>
  <c r="F7" i="1"/>
  <c r="E7" i="1" s="1"/>
  <c r="H39" i="1"/>
  <c r="H40" i="1" s="1"/>
  <c r="H41" i="1" s="1"/>
  <c r="H42" i="1" s="1"/>
  <c r="H43" i="1" s="1"/>
  <c r="G13" i="1"/>
  <c r="H35" i="1"/>
  <c r="H44" i="1" s="1"/>
  <c r="G4" i="1" l="1"/>
  <c r="G6" i="1"/>
  <c r="G5" i="1"/>
  <c r="F6" i="1"/>
  <c r="F4" i="1"/>
  <c r="F5" i="1"/>
  <c r="B36" i="1"/>
  <c r="H36" i="1"/>
  <c r="G15" i="1" l="1"/>
  <c r="E5" i="1"/>
  <c r="E6" i="1"/>
  <c r="F13" i="1"/>
  <c r="F14" i="1" s="1"/>
  <c r="E4" i="1"/>
  <c r="E13" i="1" s="1"/>
  <c r="B42" i="1"/>
  <c r="B43" i="1" s="1"/>
  <c r="E15" i="1"/>
  <c r="G18" i="1"/>
  <c r="G19" i="1" s="1"/>
  <c r="E18" i="1"/>
  <c r="F21" i="1" l="1"/>
  <c r="I68" i="1"/>
  <c r="F16" i="1"/>
  <c r="G11" i="1"/>
  <c r="G14" i="1" s="1"/>
  <c r="E14" i="1" s="1"/>
  <c r="E11" i="1"/>
  <c r="E19" i="1"/>
  <c r="E21" i="1" l="1"/>
  <c r="E16" i="1"/>
  <c r="E23" i="1" s="1"/>
  <c r="G21" i="1"/>
  <c r="F23" i="1"/>
  <c r="F20" i="1"/>
  <c r="G22" i="1"/>
  <c r="E22" i="1"/>
  <c r="G16" i="1"/>
  <c r="B18" i="1" s="1"/>
  <c r="E20" i="1" l="1"/>
  <c r="G20" i="1"/>
  <c r="G24" i="1" s="1"/>
  <c r="G25" i="1" s="1"/>
  <c r="G23" i="1"/>
  <c r="E24" i="1" s="1"/>
</calcChain>
</file>

<file path=xl/sharedStrings.xml><?xml version="1.0" encoding="utf-8"?>
<sst xmlns="http://schemas.openxmlformats.org/spreadsheetml/2006/main" count="381" uniqueCount="310">
  <si>
    <t>Example Water Use Calculations</t>
  </si>
  <si>
    <t>User input fields are yellow</t>
  </si>
  <si>
    <t>Water Use</t>
  </si>
  <si>
    <t>Home characteristics:</t>
  </si>
  <si>
    <t>Drain Water Heat Recovery:</t>
  </si>
  <si>
    <t>Table 4.2.2.5.2.11(1) Hot water fixture effectiveness</t>
  </si>
  <si>
    <t>Location (pull down)</t>
  </si>
  <si>
    <t>Las Vegas, NV</t>
  </si>
  <si>
    <t>Shower_gpd</t>
  </si>
  <si>
    <t>CFA</t>
  </si>
  <si>
    <t>Showers connected</t>
  </si>
  <si>
    <t>all</t>
  </si>
  <si>
    <t>Plumbing Fixture Description</t>
  </si>
  <si>
    <t>Feff</t>
  </si>
  <si>
    <t>Distribution system</t>
  </si>
  <si>
    <t>std</t>
  </si>
  <si>
    <t>KitchF_gpd</t>
  </si>
  <si>
    <t>Nbr</t>
  </si>
  <si>
    <t>Equal flow?</t>
  </si>
  <si>
    <t>yes</t>
  </si>
  <si>
    <t>HW pipe Insulation</t>
  </si>
  <si>
    <t>none</t>
  </si>
  <si>
    <t>LavF_gpd</t>
  </si>
  <si>
    <t>Nfl</t>
  </si>
  <si>
    <r>
      <t>CSA 55.1 DWHR</t>
    </r>
    <r>
      <rPr>
        <vertAlign val="subscript"/>
        <sz val="11"/>
        <rFont val="Calibri"/>
        <family val="2"/>
        <scheme val="minor"/>
      </rPr>
      <t>eff</t>
    </r>
  </si>
  <si>
    <t>low</t>
  </si>
  <si>
    <t>Shower (gpm)</t>
  </si>
  <si>
    <t>Waste_gpd</t>
  </si>
  <si>
    <t>Bsmt</t>
  </si>
  <si>
    <t>Tmains =</t>
  </si>
  <si>
    <t>Kitch Faucet (gpm)</t>
  </si>
  <si>
    <t>CW_gpd</t>
  </si>
  <si>
    <t>WHinTadj =</t>
  </si>
  <si>
    <t>Table 4.2.2.5.2.11(2) Hot Water Distribution Factors</t>
  </si>
  <si>
    <t>Pull down lists:</t>
  </si>
  <si>
    <t>Lav Faucet efficiency</t>
  </si>
  <si>
    <t>DW_gpd</t>
  </si>
  <si>
    <t>Appliances:</t>
  </si>
  <si>
    <t>WHinT =</t>
  </si>
  <si>
    <t>System type</t>
  </si>
  <si>
    <t xml:space="preserve">none </t>
  </si>
  <si>
    <t>R-3</t>
  </si>
  <si>
    <t>sys type</t>
  </si>
  <si>
    <t>fix eff</t>
  </si>
  <si>
    <t>P-insul</t>
  </si>
  <si>
    <t>WH Type</t>
  </si>
  <si>
    <t>Eq. Flow?</t>
  </si>
  <si>
    <t>#DWHRU</t>
  </si>
  <si>
    <t>Std sys pipe length</t>
  </si>
  <si>
    <t>Toilets_gpd</t>
  </si>
  <si>
    <t>Dishwasher</t>
  </si>
  <si>
    <t>gas</t>
  </si>
  <si>
    <t>no</t>
  </si>
  <si>
    <t>Recirc sys loop length</t>
  </si>
  <si>
    <t>Soft_gpd</t>
  </si>
  <si>
    <t>Clothes washer</t>
  </si>
  <si>
    <t>re, none</t>
  </si>
  <si>
    <t>low-flow</t>
  </si>
  <si>
    <t>elec</t>
  </si>
  <si>
    <t>one</t>
  </si>
  <si>
    <t>Recirc sys branch length</t>
  </si>
  <si>
    <t>WF</t>
  </si>
  <si>
    <t>re, temp</t>
  </si>
  <si>
    <t>Recirc pumpWatts</t>
  </si>
  <si>
    <t>Indoor_gpd</t>
  </si>
  <si>
    <t>Toilets:</t>
  </si>
  <si>
    <t>re, dmd</t>
  </si>
  <si>
    <t>DW heat recovery?</t>
  </si>
  <si>
    <t>Outdoor_gpd</t>
  </si>
  <si>
    <t>gpf</t>
  </si>
  <si>
    <t>re, man</t>
  </si>
  <si>
    <t>Total_gpd</t>
  </si>
  <si>
    <t>Water Softener:</t>
  </si>
  <si>
    <t>Lot Area (ft2)</t>
  </si>
  <si>
    <t>Ref_In =</t>
  </si>
  <si>
    <t>Softener</t>
  </si>
  <si>
    <t>Table 4.2.2.5.2.11(3) Distribution system water use effectiveness</t>
  </si>
  <si>
    <t>cWash</t>
  </si>
  <si>
    <t>CAPw</t>
  </si>
  <si>
    <t>LER</t>
  </si>
  <si>
    <t>$/kWh</t>
  </si>
  <si>
    <t>$/therm</t>
  </si>
  <si>
    <t>AGC</t>
  </si>
  <si>
    <t>Ref_Out =</t>
  </si>
  <si>
    <t>Outdoors:</t>
  </si>
  <si>
    <t>Distribution System Description</t>
  </si>
  <si>
    <t>% Outdoor H2O =</t>
  </si>
  <si>
    <t>Ref_Tot =</t>
  </si>
  <si>
    <t>Std</t>
  </si>
  <si>
    <t>2008</t>
  </si>
  <si>
    <t>Save_Tot =</t>
  </si>
  <si>
    <t>e-Star</t>
  </si>
  <si>
    <t>BestAv</t>
  </si>
  <si>
    <t>Net_Lscape_ratio =</t>
  </si>
  <si>
    <t>Sum of irrigation zone flow rates</t>
  </si>
  <si>
    <t>Lot size (acres) =</t>
  </si>
  <si>
    <t>dWash</t>
  </si>
  <si>
    <t>dWcap</t>
  </si>
  <si>
    <t>DW_EF</t>
  </si>
  <si>
    <t>Ref std sys pipe length =</t>
  </si>
  <si>
    <t>Ref recirc sys loop length =</t>
  </si>
  <si>
    <t>Table 4.2.2.5.2.11(4)  Location factors for DWHRU placement</t>
  </si>
  <si>
    <t>DWHR Placement</t>
  </si>
  <si>
    <t>LocF</t>
  </si>
  <si>
    <t>OutRef_gpd =</t>
  </si>
  <si>
    <t>gal/day</t>
  </si>
  <si>
    <t>both the fixture and water heater</t>
  </si>
  <si>
    <t>Ref_Irr_Area =</t>
  </si>
  <si>
    <t>only the water heater</t>
  </si>
  <si>
    <t>NetET (inches) =</t>
  </si>
  <si>
    <t>zip:</t>
  </si>
  <si>
    <t xml:space="preserve">only the fixture </t>
  </si>
  <si>
    <t>Sprink_ind =</t>
  </si>
  <si>
    <t>Pool_ind =</t>
  </si>
  <si>
    <r>
      <t>Table 4.2.2.5.2.11(5) Annual electricity consumption for hot water recirculation system pumps</t>
    </r>
    <r>
      <rPr>
        <sz val="11"/>
        <rFont val="Calibri"/>
        <family val="2"/>
        <scheme val="minor"/>
      </rPr>
      <t> </t>
    </r>
  </si>
  <si>
    <t>RICI_Rat=</t>
  </si>
  <si>
    <t>Recirculation System Description</t>
  </si>
  <si>
    <t>Efact</t>
  </si>
  <si>
    <t>Rici_Ref=</t>
  </si>
  <si>
    <t>Out_gpd =</t>
  </si>
  <si>
    <t>Ref_Irr_Area</t>
  </si>
  <si>
    <t>Landscape_Area</t>
  </si>
  <si>
    <t>expAref =</t>
  </si>
  <si>
    <t>expA =</t>
  </si>
  <si>
    <t>expBref =</t>
  </si>
  <si>
    <t>expB =</t>
  </si>
  <si>
    <t>1,000 Grains/year_ref</t>
  </si>
  <si>
    <t>gal/1kgrains_ref</t>
  </si>
  <si>
    <t>with both indicaters set to 1</t>
  </si>
  <si>
    <t>with pool indicator set to 0 and sprinkler indicator set to 1</t>
  </si>
  <si>
    <t>gallons/1,000 grains removed</t>
  </si>
  <si>
    <t>difference for pool</t>
  </si>
  <si>
    <t>Table 4.2.2.5.2.11(6) Hot water distribution system annual energy delivery effectiveness</t>
  </si>
  <si>
    <t>1,000 Grains/year_rat</t>
  </si>
  <si>
    <t>without sprinkler but with pool</t>
  </si>
  <si>
    <t>with both indicaters set to 0</t>
  </si>
  <si>
    <t>maximum reduction to reference for landscaped area</t>
  </si>
  <si>
    <t>Dist. System:</t>
  </si>
  <si>
    <t>Operational Factors:</t>
  </si>
  <si>
    <t>Other named variables:</t>
  </si>
  <si>
    <t>refToilets:</t>
  </si>
  <si>
    <t>Fixture Splits:</t>
  </si>
  <si>
    <t>WDeff =</t>
  </si>
  <si>
    <t>VintFact =</t>
  </si>
  <si>
    <t>Leaks:</t>
  </si>
  <si>
    <t>refGPF =</t>
  </si>
  <si>
    <t>FixtureHot</t>
  </si>
  <si>
    <t>Occ =</t>
  </si>
  <si>
    <t>oFrac</t>
  </si>
  <si>
    <t>refFPO=</t>
  </si>
  <si>
    <t>FixtureTot</t>
  </si>
  <si>
    <t>DWHR systems:</t>
  </si>
  <si>
    <r>
      <t>oCD</t>
    </r>
    <r>
      <rPr>
        <vertAlign val="subscript"/>
        <sz val="11"/>
        <rFont val="Calibri"/>
        <family val="2"/>
        <scheme val="minor"/>
      </rPr>
      <t xml:space="preserve">eff </t>
    </r>
    <r>
      <rPr>
        <sz val="11"/>
        <rFont val="Calibri"/>
        <family val="2"/>
        <scheme val="minor"/>
      </rPr>
      <t>=</t>
    </r>
  </si>
  <si>
    <t>Water use:</t>
  </si>
  <si>
    <t>sh_ref_gpm</t>
  </si>
  <si>
    <r>
      <t>DWHR</t>
    </r>
    <r>
      <rPr>
        <vertAlign val="subscript"/>
        <sz val="11"/>
        <rFont val="Calibri"/>
        <family val="2"/>
        <scheme val="minor"/>
      </rPr>
      <t xml:space="preserve">eff </t>
    </r>
    <r>
      <rPr>
        <sz val="11"/>
        <rFont val="Calibri"/>
        <family val="2"/>
        <scheme val="minor"/>
      </rPr>
      <t>=</t>
    </r>
  </si>
  <si>
    <t>Clothes washers &amp; dishwashers:</t>
  </si>
  <si>
    <t>Tavg =</t>
  </si>
  <si>
    <t>shower_pc</t>
  </si>
  <si>
    <t>DWHRinT =</t>
  </si>
  <si>
    <t>CAPw =</t>
  </si>
  <si>
    <t>Tset =</t>
  </si>
  <si>
    <t>faucet_pc</t>
  </si>
  <si>
    <t>Ifrac =</t>
  </si>
  <si>
    <t>Ifrac= 0.56 + 0.015*Nbr - 0.0004*Nbr^2</t>
  </si>
  <si>
    <t>LER =</t>
  </si>
  <si>
    <t>Tuse =</t>
  </si>
  <si>
    <t>Kitch_pc</t>
  </si>
  <si>
    <t>LocF =</t>
  </si>
  <si>
    <t>kWh_cost =</t>
  </si>
  <si>
    <r>
      <t>KitchF</t>
    </r>
    <r>
      <rPr>
        <vertAlign val="subscript"/>
        <sz val="11"/>
        <rFont val="Calibri"/>
        <family val="2"/>
        <scheme val="minor"/>
      </rPr>
      <t>eff</t>
    </r>
    <r>
      <rPr>
        <sz val="11"/>
        <rFont val="Calibri"/>
        <family val="2"/>
        <scheme val="minor"/>
      </rPr>
      <t xml:space="preserve"> =</t>
    </r>
  </si>
  <si>
    <t>Lav_pc</t>
  </si>
  <si>
    <t>FixF =</t>
  </si>
  <si>
    <t>therm_cost =</t>
  </si>
  <si>
    <r>
      <t>LavF</t>
    </r>
    <r>
      <rPr>
        <vertAlign val="subscript"/>
        <sz val="11"/>
        <rFont val="Calibri"/>
        <family val="2"/>
        <scheme val="minor"/>
      </rPr>
      <t>eff</t>
    </r>
    <r>
      <rPr>
        <sz val="11"/>
        <rFont val="Calibri"/>
        <family val="2"/>
        <scheme val="minor"/>
      </rPr>
      <t xml:space="preserve"> =</t>
    </r>
  </si>
  <si>
    <r>
      <t>SH</t>
    </r>
    <r>
      <rPr>
        <vertAlign val="subscript"/>
        <sz val="11"/>
        <rFont val="Calibri"/>
        <family val="2"/>
        <scheme val="minor"/>
      </rPr>
      <t>eff</t>
    </r>
    <r>
      <rPr>
        <sz val="11"/>
        <rFont val="Calibri"/>
        <family val="2"/>
        <scheme val="minor"/>
      </rPr>
      <t xml:space="preserve"> =</t>
    </r>
  </si>
  <si>
    <t>PLC =</t>
  </si>
  <si>
    <t>AGC =</t>
  </si>
  <si>
    <r>
      <t>F</t>
    </r>
    <r>
      <rPr>
        <vertAlign val="subscript"/>
        <sz val="11"/>
        <rFont val="Calibri"/>
        <family val="2"/>
        <scheme val="minor"/>
      </rPr>
      <t>mix</t>
    </r>
    <r>
      <rPr>
        <sz val="11"/>
        <rFont val="Calibri"/>
        <family val="2"/>
        <scheme val="minor"/>
      </rPr>
      <t xml:space="preserve"> =</t>
    </r>
  </si>
  <si>
    <t>kitch</t>
  </si>
  <si>
    <t>PLCfactor =</t>
  </si>
  <si>
    <t>NCY =</t>
  </si>
  <si>
    <r>
      <t>adjF</t>
    </r>
    <r>
      <rPr>
        <vertAlign val="subscript"/>
        <sz val="11"/>
        <rFont val="Calibri"/>
        <family val="2"/>
        <scheme val="minor"/>
      </rPr>
      <t xml:space="preserve">mix </t>
    </r>
    <r>
      <rPr>
        <sz val="11"/>
        <rFont val="Calibri"/>
        <family val="2"/>
        <scheme val="minor"/>
      </rPr>
      <t>=</t>
    </r>
  </si>
  <si>
    <t>lav</t>
  </si>
  <si>
    <t>Piping:</t>
  </si>
  <si>
    <t>ACY =</t>
  </si>
  <si>
    <t>kitch_ref_gpm</t>
  </si>
  <si>
    <t>pRatio =</t>
  </si>
  <si>
    <t>nWgpd = 9.8*Nbr^0.43</t>
  </si>
  <si>
    <t>dWcap =</t>
  </si>
  <si>
    <t>refFgpd =</t>
  </si>
  <si>
    <t>F_eff =</t>
  </si>
  <si>
    <t>sysFactor =</t>
  </si>
  <si>
    <t>nFgpd = 14.6 + 10.0*Nbr</t>
  </si>
  <si>
    <t>DW_EF =</t>
  </si>
  <si>
    <t>Operational:</t>
  </si>
  <si>
    <t>pLength =</t>
  </si>
  <si>
    <t>refDWgpd =</t>
  </si>
  <si>
    <t>HERS calcs:</t>
  </si>
  <si>
    <t>refCWgpd =</t>
  </si>
  <si>
    <t>gdp_ratio =</t>
  </si>
  <si>
    <t>DWgpd =</t>
  </si>
  <si>
    <t>oEWfact =</t>
  </si>
  <si>
    <t>CWgpd =</t>
  </si>
  <si>
    <t>sEWfact =</t>
  </si>
  <si>
    <t>Location</t>
  </si>
  <si>
    <t>Temp</t>
  </si>
  <si>
    <t>Zip</t>
  </si>
  <si>
    <t>Net_ET</t>
  </si>
  <si>
    <t>Hardness_value</t>
  </si>
  <si>
    <t>181-250</t>
  </si>
  <si>
    <t>Dallas, TX</t>
  </si>
  <si>
    <t>121-180</t>
  </si>
  <si>
    <t>Denver, CO</t>
  </si>
  <si>
    <t>61-120</t>
  </si>
  <si>
    <t>Houston, TX</t>
  </si>
  <si>
    <t>Phoenix, AZ</t>
  </si>
  <si>
    <t>San Francisco, CA</t>
  </si>
  <si>
    <t>0-60</t>
  </si>
  <si>
    <t>Scottsdale, AZ</t>
  </si>
  <si>
    <t>Tacoma, WA</t>
  </si>
  <si>
    <t>Use RICI?</t>
  </si>
  <si>
    <t>refSofgpd</t>
  </si>
  <si>
    <t>Hardness_value(mg/liter)</t>
  </si>
  <si>
    <t>Automatic Irrigation?</t>
  </si>
  <si>
    <t>Inground Pool?</t>
  </si>
  <si>
    <t>Smart controller?</t>
  </si>
  <si>
    <t>refWgpd =</t>
  </si>
  <si>
    <t>oWgpd =</t>
  </si>
  <si>
    <t>sWgpd =</t>
  </si>
  <si>
    <t>Landscaped Area (ft2)</t>
  </si>
  <si>
    <t>pool contibution</t>
  </si>
  <si>
    <t>adjust for smart controller</t>
  </si>
  <si>
    <t>adjust for RICI</t>
  </si>
  <si>
    <t>base outdoor GPD</t>
  </si>
  <si>
    <t>adjusted base outdoor contribution</t>
  </si>
  <si>
    <t>Zone flow rates</t>
  </si>
  <si>
    <t>gal/removed</t>
  </si>
  <si>
    <t>Other_gpd</t>
  </si>
  <si>
    <t>HotOther_br =</t>
  </si>
  <si>
    <t>TotOther_br =</t>
  </si>
  <si>
    <t>Static Pressure</t>
  </si>
  <si>
    <t>adjust for audit</t>
  </si>
  <si>
    <t>Prof Audit?</t>
  </si>
  <si>
    <t>EP_gpd</t>
  </si>
  <si>
    <t>Orlando, FL</t>
  </si>
  <si>
    <t>Sacramento, CA</t>
  </si>
  <si>
    <t>St. George, UT</t>
  </si>
  <si>
    <t>Austin, TX</t>
  </si>
  <si>
    <t>Tmains_offset</t>
  </si>
  <si>
    <t>Hardness</t>
  </si>
  <si>
    <t>Y/N</t>
  </si>
  <si>
    <t>H2O_in =</t>
  </si>
  <si>
    <t>H2O_Out =</t>
  </si>
  <si>
    <t>H2O_Tot =</t>
  </si>
  <si>
    <t>Tampa, FL</t>
  </si>
  <si>
    <t>Castle Rock, CO</t>
  </si>
  <si>
    <t>Roseville, CA</t>
  </si>
  <si>
    <t>Irvine, CA</t>
  </si>
  <si>
    <t>Riverside, CA</t>
  </si>
  <si>
    <t>Cold Wtr</t>
  </si>
  <si>
    <t>Hot Wtr</t>
  </si>
  <si>
    <t>Total Wtr</t>
  </si>
  <si>
    <r>
      <t>HERS</t>
    </r>
    <r>
      <rPr>
        <b/>
        <vertAlign val="subscript"/>
        <sz val="11"/>
        <color theme="0"/>
        <rFont val="Calibri"/>
        <family val="2"/>
        <scheme val="minor"/>
      </rPr>
      <t>H2O</t>
    </r>
    <r>
      <rPr>
        <b/>
        <sz val="11"/>
        <color theme="0"/>
        <rFont val="Calibri"/>
        <family val="2"/>
        <scheme val="minor"/>
      </rPr>
      <t xml:space="preserve"> =</t>
    </r>
  </si>
  <si>
    <t>* Gallons per year</t>
  </si>
  <si>
    <t>Tot_Ref_Irr_ratio =</t>
  </si>
  <si>
    <t>H2O Price</t>
  </si>
  <si>
    <t>H2Osave* =</t>
  </si>
  <si>
    <t>$save** =</t>
  </si>
  <si>
    <t>** $ per year</t>
  </si>
  <si>
    <t>$/CCF (1 CCF = 748.05 gallons)</t>
  </si>
  <si>
    <t>Instructions:</t>
  </si>
  <si>
    <t>Input fields:</t>
  </si>
  <si>
    <t>Using the pull-down menu, enter the nearest avalable city</t>
  </si>
  <si>
    <t>Hot Water Dist. System:</t>
  </si>
  <si>
    <t>std=standard systems</t>
  </si>
  <si>
    <t>re,none=no recirculation or timer-based recirc.</t>
  </si>
  <si>
    <t>re,temp=recirc with temperature control sensor</t>
  </si>
  <si>
    <t>re,dmd=recirc with demand control (presence sensor)</t>
  </si>
  <si>
    <t>re,man=recirc with demand control (manual switch)</t>
  </si>
  <si>
    <t>Select "none" for no pipe insulation on the hot water line. Select "R-3" for R-3 or greater pipe insulation</t>
  </si>
  <si>
    <t>Enter average flow rate of all shower heads in the rated home.</t>
  </si>
  <si>
    <t>Enter kitchen faucet flow rate</t>
  </si>
  <si>
    <t xml:space="preserve">std=2.2 gpm </t>
  </si>
  <si>
    <t>low flow = 2.0 gpm or less</t>
  </si>
  <si>
    <t>Measured length of hot water piping from the hot water heater to the farthest hot water fixture, measured longitudinally from plans, assuming the hot water piping does not run diagonally, plus 10 feet of piping for each floor level, plus 5 feet of piping for unconditioned basements (if any)</t>
  </si>
  <si>
    <t>Hot water recirculation loop piping length including both supply and return sides of the loop, measured longitudinally from plans, assuming the hot water piping does not run diagonally, plus 20 feet of piping for each floor level greater than one plus 10 feet of piping for unconditioned basements.</t>
  </si>
  <si>
    <t>Measured length of the branch hot water piping from the recirculation loop to the farthest hot water fixture from the recirculation loop, measured longitudinally from plans, assuming the branch hot water piping does not run diagonally</t>
  </si>
  <si>
    <t xml:space="preserve">Enter Zero if no recirc system in rated home. </t>
  </si>
  <si>
    <t>Default value=50 watts.</t>
  </si>
  <si>
    <t xml:space="preserve">Indicate whether or not the rated home has a drain water heat recovery system. </t>
  </si>
  <si>
    <t xml:space="preserve">Enter the entire area of the lot where the rated home is located (in square feet). Can typically be obtained from a site plan. </t>
  </si>
  <si>
    <t>Enter the area of the Lot that will be landscaped.</t>
  </si>
  <si>
    <t>Enter the rated home's conditioned floor area. (Will match the CFA for the HERS rating)</t>
  </si>
  <si>
    <t>Enter the number of bedrooms in the rated home</t>
  </si>
  <si>
    <t>Enter the number of conditioned floor levels in the rated home, including a conditioned basement (if present)</t>
  </si>
  <si>
    <t xml:space="preserve">Indicate whether or not the home has an unconditioned basement by entering "0" for NO basement OR "1" to indicate the rated home has a basement. Enter "0" for crawlspace only, but enter "1" for a combination of an unconditioned basement and crawlspace. </t>
  </si>
  <si>
    <t xml:space="preserve">If the rated home has a drain water heat recovery system, indicate whether all showers are connected or only one shower is connected to the system. </t>
  </si>
  <si>
    <t>?</t>
  </si>
  <si>
    <t xml:space="preserve">Indicate whether the rated home's dishwasher is "Standard" (std), "Energy Star" (e-Star) or "Best Available (BestAv). </t>
  </si>
  <si>
    <t>Indicate whether the rated home's clothes washer is: "Standard" (std), manufactured after 2008 ("2008"), is "Energy Star" (e-Star) OR the "best available on the market" (BestAv)</t>
  </si>
  <si>
    <t xml:space="preserve">Enter the average gallons per flush of all toilets in the rated home. </t>
  </si>
  <si>
    <t>Indicate whether or not the rated home has a Water Softener.</t>
  </si>
  <si>
    <t xml:space="preserve">Indicate "Yes" or "No" to indicate whether or not the rated home has a inground pool. </t>
  </si>
  <si>
    <t>Indicate "Yes" or "No" to whether or not the rated home has an AUTOMATIC irrigation system.</t>
  </si>
  <si>
    <t>Indicate "Yes" or "No" as to whether or not the Automatic Irrigation system has a "Smart Controller".</t>
  </si>
  <si>
    <t>RICI stands for "Residential Irrigation Capacity Index". Only select "Yes" if the RICI has been calculated by an Irrigation Professional and documentation provided to the rater.</t>
  </si>
  <si>
    <t>Rater to obtain documentation from the irrigation installer indicating the number of irrigation zones and the flow rates for each zone. The number entered is the sum of flow rates in all zones.</t>
  </si>
  <si>
    <t xml:space="preserve">Only select "Yes" if a certified irrigation professional has conducted an audit of the irrigation system at the rated home. </t>
  </si>
  <si>
    <t>Enter the static pressure at the rated home. 1. A pressure tank is installed and set to 60 psi or less; OR 2. a pressure regulating valve is installed and tested to 60 psi or less; OR 3. written documentation from the local water supplier that static presssure does not exceed 60 psi; OR 4. conduct a static pressure test on the water line and enter that number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</si>
</sst>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43" formatCode="_(* #,##0.00_);_(* \(#,##0.00\);_(* &quot;-&quot;??_);_(@_)"/>
    <numFmt numFmtId="164" formatCode="0.0"/>
    <numFmt numFmtId="165" formatCode="0.0000"/>
    <numFmt numFmtId="166" formatCode="0.0%"/>
    <numFmt numFmtId="167" formatCode="0.000"/>
    <numFmt numFmtId="168" formatCode="&quot;$&quot;#,##0.00"/>
    <numFmt numFmtId="169" formatCode="&quot;$&quot;#,##0"/>
  </numFmts>
  <fonts count="46"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color rgb="FFC00000"/>
      <name val="Calibri"/>
      <family val="2"/>
      <scheme val="minor"/>
    </font>
    <font>
      <b/>
      <sz val="14"/>
      <name val="Calibri"/>
      <family val="2"/>
      <scheme val="minor"/>
    </font>
    <font>
      <b/>
      <u/>
      <sz val="11"/>
      <name val="Calibri"/>
      <family val="2"/>
      <scheme val="minor"/>
    </font>
    <font>
      <u/>
      <sz val="11"/>
      <name val="Calibri"/>
      <family val="2"/>
      <scheme val="minor"/>
    </font>
    <font>
      <b/>
      <u/>
      <sz val="11"/>
      <color theme="1"/>
      <name val="Calibri"/>
      <family val="2"/>
      <scheme val="minor"/>
    </font>
    <font>
      <u/>
      <sz val="11"/>
      <color theme="1"/>
      <name val="Calibri"/>
      <family val="2"/>
      <scheme val="minor"/>
    </font>
    <font>
      <i/>
      <sz val="11"/>
      <color theme="1"/>
      <name val="Calibri"/>
      <family val="2"/>
      <scheme val="minor"/>
    </font>
    <font>
      <b/>
      <u/>
      <sz val="11"/>
      <color rgb="FF000000"/>
      <name val="Calibri"/>
      <family val="2"/>
      <scheme val="minor"/>
    </font>
    <font>
      <u/>
      <sz val="11"/>
      <color rgb="FF000000"/>
      <name val="Calibri"/>
      <family val="2"/>
      <scheme val="minor"/>
    </font>
    <font>
      <sz val="11"/>
      <color rgb="FFFF0000"/>
      <name val="Calibri"/>
      <family val="2"/>
      <scheme val="minor"/>
    </font>
    <font>
      <b/>
      <u/>
      <sz val="11"/>
      <color theme="1"/>
      <name val="Courier New"/>
      <family val="3"/>
    </font>
    <font>
      <b/>
      <sz val="12"/>
      <name val="Calibri"/>
      <family val="2"/>
      <scheme val="minor"/>
    </font>
    <font>
      <sz val="12"/>
      <color theme="1"/>
      <name val="Calibri"/>
      <family val="2"/>
      <scheme val="minor"/>
    </font>
    <font>
      <sz val="11"/>
      <color rgb="FF009900"/>
      <name val="Calibri"/>
      <family val="2"/>
      <scheme val="minor"/>
    </font>
    <font>
      <vertAlign val="subscript"/>
      <sz val="11"/>
      <name val="Calibri"/>
      <family val="2"/>
      <scheme val="minor"/>
    </font>
    <font>
      <sz val="11"/>
      <name val="Calibri"/>
      <family val="2"/>
    </font>
    <font>
      <sz val="10"/>
      <name val="Arial"/>
      <family val="2"/>
    </font>
    <font>
      <sz val="10"/>
      <name val="Arial"/>
      <family val="2"/>
    </font>
    <font>
      <i/>
      <sz val="11"/>
      <name val="Calibri"/>
      <family val="2"/>
      <scheme val="minor"/>
    </font>
    <font>
      <b/>
      <sz val="11"/>
      <color rgb="FF0070C0"/>
      <name val="Calibri"/>
      <family val="2"/>
    </font>
    <font>
      <b/>
      <sz val="11"/>
      <color rgb="FF0070C0"/>
      <name val="Calibri"/>
      <family val="2"/>
      <scheme val="minor"/>
    </font>
    <font>
      <b/>
      <sz val="11"/>
      <color theme="5" tint="-0.249977111117893"/>
      <name val="Calibri"/>
      <family val="2"/>
      <scheme val="minor"/>
    </font>
    <font>
      <sz val="11"/>
      <color theme="1"/>
      <name val="Calibri"/>
      <family val="2"/>
      <scheme val="minor"/>
    </font>
    <font>
      <sz val="11"/>
      <color rgb="FFC0000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vertAlign val="subscript"/>
      <sz val="11"/>
      <color theme="0"/>
      <name val="Calibri"/>
      <family val="2"/>
      <scheme val="minor"/>
    </font>
    <font>
      <b/>
      <sz val="14"/>
      <color theme="1"/>
      <name val="Calibri"/>
      <family val="2"/>
      <scheme val="minor"/>
    </font>
    <font>
      <sz val="14"/>
      <color theme="1"/>
      <name val="Calibri"/>
      <family val="2"/>
      <scheme val="minor"/>
    </font>
    <font>
      <b/>
      <sz val="14"/>
      <color rgb="FF0070C0"/>
      <name val="Calibri"/>
      <family val="2"/>
      <scheme val="minor"/>
    </font>
  </fonts>
  <fills count="42">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E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8" tint="0.79998168889431442"/>
        <bgColor indexed="64"/>
      </patternFill>
    </fill>
    <fill>
      <patternFill patternType="solid">
        <fgColor rgb="FF0070C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bottom style="thin">
        <color indexed="64"/>
      </bottom>
      <diagonal/>
    </border>
    <border>
      <left style="thin">
        <color indexed="64"/>
      </left>
      <right/>
      <top/>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50">
    <xf numFmtId="0" fontId="0" fillId="0" borderId="0"/>
    <xf numFmtId="0" fontId="20" fillId="0" borderId="0">
      <alignment vertical="top"/>
    </xf>
    <xf numFmtId="3" fontId="20" fillId="0" borderId="0" applyFont="0" applyFill="0" applyBorder="0" applyAlignment="0" applyProtection="0"/>
    <xf numFmtId="5" fontId="20" fillId="0" borderId="0" applyFont="0" applyFill="0" applyBorder="0" applyAlignment="0" applyProtection="0"/>
    <xf numFmtId="14" fontId="20" fillId="0" borderId="0" applyFont="0" applyFill="0" applyBorder="0" applyAlignment="0" applyProtection="0"/>
    <xf numFmtId="2" fontId="20" fillId="0" borderId="0" applyFont="0" applyFill="0" applyBorder="0" applyAlignment="0" applyProtection="0"/>
    <xf numFmtId="0" fontId="21" fillId="0" borderId="0"/>
    <xf numFmtId="9" fontId="26" fillId="0" borderId="0" applyFont="0" applyFill="0" applyBorder="0" applyAlignment="0" applyProtection="0"/>
    <xf numFmtId="0" fontId="28" fillId="0" borderId="0" applyNumberFormat="0" applyFill="0" applyBorder="0" applyAlignment="0" applyProtection="0"/>
    <xf numFmtId="0" fontId="29" fillId="0" borderId="34" applyNumberFormat="0" applyFill="0" applyAlignment="0" applyProtection="0"/>
    <xf numFmtId="0" fontId="30" fillId="0" borderId="35" applyNumberFormat="0" applyFill="0" applyAlignment="0" applyProtection="0"/>
    <xf numFmtId="0" fontId="31" fillId="0" borderId="36" applyNumberFormat="0" applyFill="0" applyAlignment="0" applyProtection="0"/>
    <xf numFmtId="0" fontId="31" fillId="0" borderId="0" applyNumberFormat="0" applyFill="0" applyBorder="0" applyAlignment="0" applyProtection="0"/>
    <xf numFmtId="0" fontId="32" fillId="8" borderId="0" applyNumberFormat="0" applyBorder="0" applyAlignment="0" applyProtection="0"/>
    <xf numFmtId="0" fontId="33" fillId="9" borderId="0" applyNumberFormat="0" applyBorder="0" applyAlignment="0" applyProtection="0"/>
    <xf numFmtId="0" fontId="34" fillId="10" borderId="0" applyNumberFormat="0" applyBorder="0" applyAlignment="0" applyProtection="0"/>
    <xf numFmtId="0" fontId="35" fillId="11" borderId="37" applyNumberFormat="0" applyAlignment="0" applyProtection="0"/>
    <xf numFmtId="0" fontId="36" fillId="12" borderId="38" applyNumberFormat="0" applyAlignment="0" applyProtection="0"/>
    <xf numFmtId="0" fontId="37" fillId="12" borderId="37" applyNumberFormat="0" applyAlignment="0" applyProtection="0"/>
    <xf numFmtId="0" fontId="38" fillId="0" borderId="39" applyNumberFormat="0" applyFill="0" applyAlignment="0" applyProtection="0"/>
    <xf numFmtId="0" fontId="39" fillId="13" borderId="40" applyNumberFormat="0" applyAlignment="0" applyProtection="0"/>
    <xf numFmtId="0" fontId="13" fillId="0" borderId="0" applyNumberFormat="0" applyFill="0" applyBorder="0" applyAlignment="0" applyProtection="0"/>
    <xf numFmtId="0" fontId="26" fillId="14" borderId="41" applyNumberFormat="0" applyFont="0" applyAlignment="0" applyProtection="0"/>
    <xf numFmtId="0" fontId="40" fillId="0" borderId="0" applyNumberFormat="0" applyFill="0" applyBorder="0" applyAlignment="0" applyProtection="0"/>
    <xf numFmtId="0" fontId="1" fillId="0" borderId="42" applyNumberFormat="0" applyFill="0" applyAlignment="0" applyProtection="0"/>
    <xf numFmtId="0" fontId="4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41" fillId="38" borderId="0" applyNumberFormat="0" applyBorder="0" applyAlignment="0" applyProtection="0"/>
    <xf numFmtId="43" fontId="26" fillId="0" borderId="0" applyFont="0" applyFill="0" applyBorder="0" applyAlignment="0" applyProtection="0"/>
  </cellStyleXfs>
  <cellXfs count="258">
    <xf numFmtId="0" fontId="0" fillId="0" borderId="0" xfId="0"/>
    <xf numFmtId="0" fontId="0" fillId="0" borderId="0" xfId="0" applyAlignment="1">
      <alignment horizontal="left" indent="1"/>
    </xf>
    <xf numFmtId="0" fontId="0" fillId="0" borderId="0" xfId="0" applyFont="1"/>
    <xf numFmtId="0" fontId="2" fillId="0" borderId="0" xfId="0" applyFont="1"/>
    <xf numFmtId="0" fontId="3" fillId="3" borderId="1" xfId="0" applyFont="1" applyFill="1" applyBorder="1" applyAlignment="1" applyProtection="1">
      <alignment horizontal="center"/>
      <protection locked="0"/>
    </xf>
    <xf numFmtId="0" fontId="2" fillId="0" borderId="0" xfId="0" applyFont="1" applyAlignment="1">
      <alignment horizontal="left" indent="1"/>
    </xf>
    <xf numFmtId="2" fontId="2" fillId="0" borderId="0" xfId="0" applyNumberFormat="1" applyFont="1"/>
    <xf numFmtId="166" fontId="2" fillId="0" borderId="0" xfId="0" applyNumberFormat="1" applyFont="1"/>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2" fillId="0" borderId="0" xfId="0" applyFont="1" applyAlignment="1">
      <alignment horizontal="right"/>
    </xf>
    <xf numFmtId="0" fontId="6" fillId="0" borderId="0" xfId="0" applyFont="1" applyAlignment="1">
      <alignment horizontal="left" vertical="center"/>
    </xf>
    <xf numFmtId="0" fontId="0" fillId="0" borderId="0" xfId="0" applyAlignment="1">
      <alignment horizontal="center"/>
    </xf>
    <xf numFmtId="0" fontId="3" fillId="0" borderId="0" xfId="0" applyFont="1"/>
    <xf numFmtId="0" fontId="3" fillId="0" borderId="0" xfId="0" applyFont="1" applyAlignment="1">
      <alignment horizontal="left" indent="1"/>
    </xf>
    <xf numFmtId="0" fontId="2" fillId="0" borderId="0" xfId="0" applyFont="1" applyAlignment="1">
      <alignment horizontal="center"/>
    </xf>
    <xf numFmtId="0" fontId="6" fillId="0" borderId="1" xfId="0" applyFont="1" applyBorder="1" applyAlignment="1">
      <alignment vertical="center" wrapText="1"/>
    </xf>
    <xf numFmtId="0" fontId="8" fillId="0" borderId="0" xfId="0" applyFont="1" applyBorder="1" applyAlignment="1">
      <alignment horizontal="left"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vertical="center" wrapText="1"/>
    </xf>
    <xf numFmtId="164" fontId="9"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167" fontId="2" fillId="0" borderId="0" xfId="0" applyNumberFormat="1" applyFont="1"/>
    <xf numFmtId="0" fontId="2" fillId="0" borderId="0" xfId="0" applyFont="1" applyAlignment="1">
      <alignment horizontal="right" indent="1"/>
    </xf>
    <xf numFmtId="165" fontId="2" fillId="0" borderId="11" xfId="0" applyNumberFormat="1" applyFont="1" applyBorder="1"/>
    <xf numFmtId="0" fontId="2" fillId="0" borderId="11" xfId="0" applyFont="1" applyBorder="1"/>
    <xf numFmtId="0" fontId="11" fillId="0" borderId="1" xfId="0" applyFont="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vertical="center" wrapText="1"/>
    </xf>
    <xf numFmtId="0" fontId="6" fillId="0" borderId="0" xfId="0" applyFont="1" applyBorder="1" applyAlignment="1">
      <alignment horizontal="left"/>
    </xf>
    <xf numFmtId="164" fontId="2" fillId="0" borderId="0" xfId="0" applyNumberFormat="1" applyFont="1"/>
    <xf numFmtId="2" fontId="0" fillId="0" borderId="0" xfId="0" applyNumberFormat="1" applyFont="1" applyFill="1" applyBorder="1" applyAlignment="1">
      <alignment horizontal="center"/>
    </xf>
    <xf numFmtId="167" fontId="2" fillId="0" borderId="0" xfId="0" applyNumberFormat="1" applyFont="1" applyAlignment="1">
      <alignment horizontal="right"/>
    </xf>
    <xf numFmtId="0" fontId="6" fillId="0" borderId="0" xfId="0" applyFont="1"/>
    <xf numFmtId="1" fontId="2" fillId="0" borderId="0" xfId="0" applyNumberFormat="1" applyFont="1" applyFill="1" applyAlignment="1">
      <alignment horizontal="right"/>
    </xf>
    <xf numFmtId="0" fontId="2" fillId="0" borderId="0" xfId="0" applyFont="1" applyBorder="1" applyAlignment="1">
      <alignment horizontal="center"/>
    </xf>
    <xf numFmtId="0" fontId="14" fillId="0" borderId="0" xfId="0" applyFont="1"/>
    <xf numFmtId="0" fontId="0" fillId="0" borderId="0" xfId="0" applyFont="1" applyAlignment="1">
      <alignment horizontal="center"/>
    </xf>
    <xf numFmtId="0" fontId="2" fillId="0" borderId="0" xfId="0" applyFont="1" applyBorder="1"/>
    <xf numFmtId="0" fontId="9" fillId="0" borderId="1" xfId="0" applyFont="1" applyBorder="1" applyAlignment="1">
      <alignment horizontal="center" vertical="center" wrapText="1"/>
    </xf>
    <xf numFmtId="0" fontId="13" fillId="0" borderId="0" xfId="0" applyFont="1"/>
    <xf numFmtId="165" fontId="2" fillId="0" borderId="0" xfId="0" applyNumberFormat="1" applyFont="1" applyAlignment="1">
      <alignment horizontal="center"/>
    </xf>
    <xf numFmtId="0" fontId="9" fillId="0" borderId="1" xfId="0" applyFont="1" applyBorder="1" applyAlignment="1">
      <alignment vertical="center"/>
    </xf>
    <xf numFmtId="167" fontId="9" fillId="0" borderId="1" xfId="0" applyNumberFormat="1" applyFont="1" applyBorder="1" applyAlignment="1">
      <alignment horizontal="center" vertical="center"/>
    </xf>
    <xf numFmtId="0" fontId="3" fillId="0" borderId="0" xfId="0" applyFont="1" applyAlignment="1">
      <alignment horizontal="left"/>
    </xf>
    <xf numFmtId="0" fontId="2" fillId="0" borderId="10" xfId="0" applyFont="1" applyBorder="1" applyAlignment="1">
      <alignment horizontal="center"/>
    </xf>
    <xf numFmtId="0" fontId="0" fillId="0" borderId="10" xfId="0" applyFont="1" applyBorder="1" applyAlignment="1">
      <alignment horizontal="center"/>
    </xf>
    <xf numFmtId="9" fontId="2" fillId="0" borderId="10" xfId="0" applyNumberFormat="1" applyFont="1" applyBorder="1" applyAlignment="1">
      <alignment horizontal="center"/>
    </xf>
    <xf numFmtId="0" fontId="15" fillId="0" borderId="0" xfId="0" applyFont="1" applyBorder="1" applyAlignment="1">
      <alignment horizontal="center" vertical="center"/>
    </xf>
    <xf numFmtId="0" fontId="16" fillId="0" borderId="0" xfId="0" applyFont="1" applyBorder="1" applyAlignment="1">
      <alignment horizontal="center" vertical="center"/>
    </xf>
    <xf numFmtId="164" fontId="12" fillId="0" borderId="1" xfId="0" applyNumberFormat="1" applyFont="1" applyBorder="1" applyAlignment="1">
      <alignment horizontal="center" vertical="center"/>
    </xf>
    <xf numFmtId="164" fontId="17" fillId="0" borderId="0" xfId="0" applyNumberFormat="1" applyFont="1" applyAlignment="1">
      <alignment horizontal="center"/>
    </xf>
    <xf numFmtId="0" fontId="2" fillId="0" borderId="10" xfId="0" applyFont="1" applyBorder="1"/>
    <xf numFmtId="0" fontId="19" fillId="0" borderId="0" xfId="0" applyFont="1" applyAlignment="1">
      <alignment horizontal="center"/>
    </xf>
    <xf numFmtId="0" fontId="6" fillId="0" borderId="1" xfId="0" applyFont="1" applyBorder="1" applyAlignment="1">
      <alignment horizontal="center" vertical="center"/>
    </xf>
    <xf numFmtId="0" fontId="2" fillId="0" borderId="1" xfId="0" applyFont="1" applyBorder="1"/>
    <xf numFmtId="0" fontId="7" fillId="0" borderId="1" xfId="0" applyFont="1" applyBorder="1" applyAlignment="1">
      <alignment horizontal="center"/>
    </xf>
    <xf numFmtId="0" fontId="6" fillId="0" borderId="11" xfId="0" applyFont="1" applyBorder="1" applyAlignment="1">
      <alignment horizontal="center"/>
    </xf>
    <xf numFmtId="0" fontId="6" fillId="0" borderId="0" xfId="0" applyFont="1" applyBorder="1" applyAlignment="1">
      <alignment horizontal="center"/>
    </xf>
    <xf numFmtId="165" fontId="2" fillId="0" borderId="0" xfId="0" applyNumberFormat="1" applyFont="1" applyBorder="1"/>
    <xf numFmtId="0" fontId="6" fillId="0" borderId="0" xfId="0" applyFont="1" applyBorder="1" applyAlignment="1">
      <alignment horizontal="center" vertical="center"/>
    </xf>
    <xf numFmtId="164" fontId="12" fillId="0" borderId="0" xfId="0" applyNumberFormat="1" applyFont="1" applyBorder="1" applyAlignment="1">
      <alignment horizontal="center" vertical="center"/>
    </xf>
    <xf numFmtId="2" fontId="2" fillId="0" borderId="1" xfId="0" applyNumberFormat="1" applyFont="1" applyBorder="1" applyAlignment="1">
      <alignment horizontal="center"/>
    </xf>
    <xf numFmtId="0" fontId="6" fillId="0" borderId="1" xfId="0" applyFont="1" applyBorder="1"/>
    <xf numFmtId="0" fontId="6" fillId="0" borderId="1" xfId="0" applyFont="1" applyBorder="1" applyAlignment="1">
      <alignment horizontal="center"/>
    </xf>
    <xf numFmtId="1" fontId="3" fillId="3" borderId="1" xfId="0" applyNumberFormat="1" applyFont="1" applyFill="1" applyBorder="1" applyAlignment="1" applyProtection="1">
      <alignment horizontal="center"/>
      <protection locked="0"/>
    </xf>
    <xf numFmtId="166" fontId="2" fillId="0" borderId="0" xfId="0" applyNumberFormat="1" applyFont="1" applyFill="1" applyBorder="1" applyAlignment="1" applyProtection="1">
      <alignment horizontal="right"/>
    </xf>
    <xf numFmtId="166" fontId="3" fillId="3" borderId="1" xfId="0" applyNumberFormat="1" applyFont="1" applyFill="1" applyBorder="1" applyAlignment="1" applyProtection="1">
      <alignment horizontal="center"/>
      <protection locked="0"/>
    </xf>
    <xf numFmtId="0" fontId="22" fillId="0" borderId="0" xfId="0" applyFont="1" applyAlignment="1">
      <alignment horizontal="right"/>
    </xf>
    <xf numFmtId="164" fontId="22" fillId="0" borderId="0" xfId="0" applyNumberFormat="1" applyFont="1" applyFill="1" applyBorder="1" applyAlignment="1" applyProtection="1">
      <alignment horizontal="left"/>
    </xf>
    <xf numFmtId="2" fontId="10" fillId="0" borderId="0" xfId="0" applyNumberFormat="1" applyFont="1" applyFill="1" applyBorder="1" applyAlignment="1">
      <alignment horizontal="left"/>
    </xf>
    <xf numFmtId="0" fontId="2" fillId="0" borderId="0" xfId="0" applyFont="1" applyFill="1"/>
    <xf numFmtId="0" fontId="2" fillId="0" borderId="0" xfId="0" applyFont="1" applyFill="1" applyAlignment="1">
      <alignment horizontal="right"/>
    </xf>
    <xf numFmtId="2" fontId="2" fillId="0" borderId="0" xfId="0" applyNumberFormat="1" applyFont="1" applyFill="1"/>
    <xf numFmtId="0" fontId="2" fillId="0" borderId="0" xfId="0" applyFont="1" applyFill="1" applyAlignment="1">
      <alignment horizontal="left" indent="1"/>
    </xf>
    <xf numFmtId="0" fontId="8" fillId="0" borderId="0" xfId="0" applyFont="1" applyAlignment="1">
      <alignment horizontal="left" vertical="center"/>
    </xf>
    <xf numFmtId="0" fontId="2" fillId="0" borderId="0" xfId="0" quotePrefix="1" applyFont="1" applyAlignment="1">
      <alignment horizontal="center"/>
    </xf>
    <xf numFmtId="0" fontId="2" fillId="0" borderId="10" xfId="0" applyFont="1" applyBorder="1" applyAlignment="1">
      <alignment horizontal="right"/>
    </xf>
    <xf numFmtId="0" fontId="2" fillId="0" borderId="10" xfId="0" applyFont="1" applyBorder="1" applyAlignment="1">
      <alignment horizontal="right" indent="1"/>
    </xf>
    <xf numFmtId="0" fontId="2" fillId="0" borderId="0" xfId="0" applyFont="1" applyFill="1" applyBorder="1" applyAlignment="1" applyProtection="1">
      <alignment horizontal="right"/>
    </xf>
    <xf numFmtId="2" fontId="2" fillId="0" borderId="0" xfId="0" applyNumberFormat="1" applyFont="1" applyProtection="1"/>
    <xf numFmtId="167" fontId="2" fillId="0" borderId="0" xfId="0" applyNumberFormat="1" applyFont="1" applyProtection="1"/>
    <xf numFmtId="167" fontId="2" fillId="0" borderId="0" xfId="0" applyNumberFormat="1" applyFont="1" applyAlignment="1" applyProtection="1"/>
    <xf numFmtId="2" fontId="2" fillId="0" borderId="0" xfId="0" applyNumberFormat="1" applyFont="1" applyFill="1" applyProtection="1"/>
    <xf numFmtId="0" fontId="2" fillId="0" borderId="0" xfId="0" applyFont="1" applyFill="1" applyBorder="1" applyAlignment="1" applyProtection="1"/>
    <xf numFmtId="1" fontId="2" fillId="0" borderId="0" xfId="0" applyNumberFormat="1" applyFont="1" applyFill="1" applyAlignment="1" applyProtection="1">
      <alignment horizontal="right"/>
    </xf>
    <xf numFmtId="2" fontId="2" fillId="0" borderId="0" xfId="0" applyNumberFormat="1" applyFont="1" applyFill="1" applyAlignment="1" applyProtection="1">
      <alignment horizontal="right"/>
    </xf>
    <xf numFmtId="0" fontId="0" fillId="0" borderId="0" xfId="0" quotePrefix="1" applyFont="1" applyAlignment="1">
      <alignment horizontal="left" indent="1"/>
    </xf>
    <xf numFmtId="2" fontId="17" fillId="0" borderId="0" xfId="0" applyNumberFormat="1" applyFont="1" applyAlignment="1">
      <alignment horizontal="center"/>
    </xf>
    <xf numFmtId="0" fontId="7" fillId="0" borderId="0" xfId="0" applyFont="1" applyAlignment="1">
      <alignment horizontal="center"/>
    </xf>
    <xf numFmtId="164" fontId="9" fillId="0" borderId="1" xfId="0" applyNumberFormat="1" applyFont="1" applyFill="1" applyBorder="1" applyAlignment="1">
      <alignment horizontal="center" vertical="center" wrapText="1"/>
    </xf>
    <xf numFmtId="2" fontId="9"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xf>
    <xf numFmtId="2" fontId="2" fillId="0" borderId="0" xfId="0" applyNumberFormat="1" applyFont="1" applyAlignment="1">
      <alignment horizontal="right"/>
    </xf>
    <xf numFmtId="0" fontId="2" fillId="0" borderId="0" xfId="0" applyFont="1" applyAlignment="1">
      <alignment horizontal="right" vertical="center"/>
    </xf>
    <xf numFmtId="0" fontId="3" fillId="4" borderId="21" xfId="0" applyFont="1" applyFill="1" applyBorder="1" applyAlignment="1"/>
    <xf numFmtId="0" fontId="3" fillId="4" borderId="12" xfId="0" applyFont="1" applyFill="1" applyBorder="1" applyAlignment="1">
      <alignment horizontal="right"/>
    </xf>
    <xf numFmtId="0" fontId="3" fillId="0" borderId="0" xfId="0" applyFont="1" applyFill="1" applyAlignment="1">
      <alignment horizontal="left" indent="1"/>
    </xf>
    <xf numFmtId="164" fontId="2" fillId="0" borderId="0" xfId="0" applyNumberFormat="1" applyFont="1" applyAlignment="1">
      <alignment horizontal="left" indent="1"/>
    </xf>
    <xf numFmtId="2" fontId="2" fillId="0" borderId="0" xfId="0" applyNumberFormat="1" applyFont="1" applyFill="1" applyBorder="1" applyAlignment="1" applyProtection="1">
      <protection locked="0"/>
    </xf>
    <xf numFmtId="2" fontId="2" fillId="0" borderId="0" xfId="0" applyNumberFormat="1" applyFont="1" applyFill="1" applyBorder="1" applyAlignment="1"/>
    <xf numFmtId="1" fontId="2" fillId="0" borderId="0" xfId="0" applyNumberFormat="1" applyFont="1"/>
    <xf numFmtId="0" fontId="0" fillId="0" borderId="0" xfId="0" applyFont="1" applyAlignment="1">
      <alignment horizontal="left" indent="1"/>
    </xf>
    <xf numFmtId="166" fontId="2" fillId="0" borderId="0" xfId="0" applyNumberFormat="1" applyFont="1" applyFill="1" applyBorder="1" applyAlignment="1" applyProtection="1"/>
    <xf numFmtId="2" fontId="9" fillId="0" borderId="0" xfId="0" applyNumberFormat="1" applyFont="1" applyBorder="1" applyAlignment="1">
      <alignment horizontal="center" vertical="center" wrapText="1"/>
    </xf>
    <xf numFmtId="0" fontId="23" fillId="4" borderId="25" xfId="0" applyFont="1" applyFill="1" applyBorder="1" applyAlignment="1">
      <alignment horizontal="center"/>
    </xf>
    <xf numFmtId="164" fontId="4" fillId="4" borderId="24" xfId="0" applyNumberFormat="1" applyFont="1" applyFill="1" applyBorder="1" applyAlignment="1">
      <alignment horizontal="center"/>
    </xf>
    <xf numFmtId="164" fontId="3" fillId="4" borderId="21" xfId="0" applyNumberFormat="1" applyFont="1" applyFill="1" applyBorder="1" applyAlignment="1">
      <alignment horizontal="center"/>
    </xf>
    <xf numFmtId="164" fontId="24" fillId="4" borderId="20" xfId="0" applyNumberFormat="1" applyFont="1" applyFill="1" applyBorder="1" applyAlignment="1">
      <alignment horizontal="right" indent="2"/>
    </xf>
    <xf numFmtId="164" fontId="4" fillId="4" borderId="11" xfId="0" applyNumberFormat="1" applyFont="1" applyFill="1" applyBorder="1" applyAlignment="1">
      <alignment horizontal="right" indent="2"/>
    </xf>
    <xf numFmtId="164" fontId="3" fillId="4" borderId="12" xfId="0" applyNumberFormat="1" applyFont="1" applyFill="1" applyBorder="1" applyAlignment="1">
      <alignment horizontal="right" indent="2"/>
    </xf>
    <xf numFmtId="0" fontId="2" fillId="3" borderId="10" xfId="0" applyFont="1" applyFill="1" applyBorder="1" applyAlignment="1">
      <alignment horizontal="right"/>
    </xf>
    <xf numFmtId="0" fontId="2" fillId="3" borderId="0" xfId="0" applyFont="1" applyFill="1"/>
    <xf numFmtId="2" fontId="2" fillId="0" borderId="0" xfId="0" applyNumberFormat="1" applyFont="1" applyFill="1" applyBorder="1" applyAlignment="1" applyProtection="1"/>
    <xf numFmtId="2" fontId="2" fillId="0" borderId="0" xfId="0" applyNumberFormat="1" applyFont="1" applyAlignment="1">
      <alignment horizontal="right" indent="1"/>
    </xf>
    <xf numFmtId="164" fontId="4" fillId="4" borderId="8" xfId="0" applyNumberFormat="1" applyFont="1" applyFill="1" applyBorder="1" applyAlignment="1">
      <alignment horizontal="right" indent="2"/>
    </xf>
    <xf numFmtId="164" fontId="2" fillId="0" borderId="0" xfId="0" applyNumberFormat="1" applyFont="1" applyAlignment="1">
      <alignment horizontal="right" indent="1"/>
    </xf>
    <xf numFmtId="9" fontId="2" fillId="0" borderId="0" xfId="0" applyNumberFormat="1" applyFont="1" applyAlignment="1">
      <alignment horizontal="right" indent="1"/>
    </xf>
    <xf numFmtId="9" fontId="2" fillId="0" borderId="0" xfId="0" applyNumberFormat="1" applyFont="1" applyBorder="1" applyAlignment="1">
      <alignment horizontal="right" indent="1"/>
    </xf>
    <xf numFmtId="2" fontId="2" fillId="0" borderId="20" xfId="0" applyNumberFormat="1" applyFont="1" applyBorder="1" applyAlignment="1">
      <alignment horizontal="right" indent="1"/>
    </xf>
    <xf numFmtId="164" fontId="22" fillId="0" borderId="0" xfId="0" applyNumberFormat="1" applyFont="1" applyAlignment="1">
      <alignment horizontal="left"/>
    </xf>
    <xf numFmtId="0" fontId="25" fillId="0" borderId="0" xfId="0" applyFont="1" applyFill="1" applyBorder="1"/>
    <xf numFmtId="0" fontId="3" fillId="0" borderId="0" xfId="0" applyFont="1" applyAlignment="1">
      <alignment horizontal="left" wrapText="1" indent="1"/>
    </xf>
    <xf numFmtId="164" fontId="3" fillId="3" borderId="1" xfId="0" applyNumberFormat="1" applyFont="1" applyFill="1" applyBorder="1" applyAlignment="1" applyProtection="1">
      <alignment horizontal="center"/>
      <protection locked="0"/>
    </xf>
    <xf numFmtId="164" fontId="24" fillId="6" borderId="29" xfId="0" applyNumberFormat="1" applyFont="1" applyFill="1" applyBorder="1" applyAlignment="1">
      <alignment horizontal="right" indent="2"/>
    </xf>
    <xf numFmtId="164" fontId="4" fillId="6" borderId="27" xfId="0" applyNumberFormat="1" applyFont="1" applyFill="1" applyBorder="1" applyAlignment="1">
      <alignment horizontal="right" indent="2"/>
    </xf>
    <xf numFmtId="164" fontId="3" fillId="6" borderId="14" xfId="0" applyNumberFormat="1" applyFont="1" applyFill="1" applyBorder="1" applyAlignment="1">
      <alignment horizontal="right" indent="2"/>
    </xf>
    <xf numFmtId="0" fontId="3" fillId="6" borderId="9" xfId="0" applyFont="1" applyFill="1" applyBorder="1" applyAlignment="1">
      <alignment horizontal="right"/>
    </xf>
    <xf numFmtId="0" fontId="3" fillId="7" borderId="9" xfId="0" applyFont="1" applyFill="1" applyBorder="1" applyAlignment="1">
      <alignment horizontal="right"/>
    </xf>
    <xf numFmtId="0" fontId="3" fillId="6" borderId="26" xfId="0" applyFont="1" applyFill="1" applyBorder="1" applyAlignment="1">
      <alignment horizontal="right"/>
    </xf>
    <xf numFmtId="164" fontId="4" fillId="6" borderId="28" xfId="0" applyNumberFormat="1" applyFont="1" applyFill="1" applyBorder="1" applyAlignment="1">
      <alignment horizontal="right" indent="2"/>
    </xf>
    <xf numFmtId="2" fontId="3" fillId="4" borderId="12" xfId="0" applyNumberFormat="1" applyFont="1" applyFill="1" applyBorder="1" applyAlignment="1">
      <alignment horizontal="right"/>
    </xf>
    <xf numFmtId="0" fontId="3" fillId="7" borderId="26" xfId="0" applyFont="1" applyFill="1" applyBorder="1" applyAlignment="1">
      <alignment horizontal="right"/>
    </xf>
    <xf numFmtId="0" fontId="3" fillId="7" borderId="22" xfId="0" applyFont="1" applyFill="1" applyBorder="1" applyAlignment="1">
      <alignment horizontal="right"/>
    </xf>
    <xf numFmtId="164" fontId="24" fillId="6" borderId="32" xfId="0" applyNumberFormat="1" applyFont="1" applyFill="1" applyBorder="1" applyAlignment="1">
      <alignment horizontal="right" indent="2"/>
    </xf>
    <xf numFmtId="164" fontId="3" fillId="6" borderId="33" xfId="0" applyNumberFormat="1" applyFont="1" applyFill="1" applyBorder="1" applyAlignment="1">
      <alignment horizontal="right" indent="2"/>
    </xf>
    <xf numFmtId="0" fontId="3" fillId="6" borderId="19" xfId="0" applyFont="1" applyFill="1" applyBorder="1" applyAlignment="1">
      <alignment horizontal="right"/>
    </xf>
    <xf numFmtId="164" fontId="4" fillId="6" borderId="15" xfId="0" applyNumberFormat="1" applyFont="1" applyFill="1" applyBorder="1" applyAlignment="1">
      <alignment horizontal="right" indent="2"/>
    </xf>
    <xf numFmtId="0" fontId="3" fillId="5" borderId="6" xfId="0" applyFont="1" applyFill="1" applyBorder="1" applyAlignment="1">
      <alignment horizontal="right"/>
    </xf>
    <xf numFmtId="164" fontId="24" fillId="5" borderId="6" xfId="0" applyNumberFormat="1" applyFont="1" applyFill="1" applyBorder="1" applyAlignment="1">
      <alignment horizontal="right" indent="2"/>
    </xf>
    <xf numFmtId="164" fontId="4" fillId="5" borderId="7" xfId="0" applyNumberFormat="1" applyFont="1" applyFill="1" applyBorder="1" applyAlignment="1">
      <alignment horizontal="right" indent="2"/>
    </xf>
    <xf numFmtId="164" fontId="3" fillId="5" borderId="21" xfId="0" applyNumberFormat="1" applyFont="1" applyFill="1" applyBorder="1" applyAlignment="1">
      <alignment horizontal="right" indent="2"/>
    </xf>
    <xf numFmtId="164" fontId="22" fillId="0" borderId="0" xfId="0" applyNumberFormat="1" applyFont="1" applyBorder="1" applyAlignment="1">
      <alignment horizontal="left" indent="1"/>
    </xf>
    <xf numFmtId="0" fontId="22" fillId="0" borderId="0" xfId="0" applyFont="1" applyFill="1" applyBorder="1" applyAlignment="1">
      <alignment horizontal="right"/>
    </xf>
    <xf numFmtId="9" fontId="22" fillId="0" borderId="0" xfId="0" applyNumberFormat="1" applyFont="1" applyFill="1" applyBorder="1" applyAlignment="1">
      <alignment horizontal="left" indent="1"/>
    </xf>
    <xf numFmtId="0" fontId="3" fillId="0" borderId="0" xfId="0" applyFont="1" applyBorder="1" applyAlignment="1">
      <alignment horizontal="left" indent="1"/>
    </xf>
    <xf numFmtId="0" fontId="2" fillId="0" borderId="0" xfId="0" applyFont="1" applyAlignment="1">
      <alignment horizontal="left"/>
    </xf>
    <xf numFmtId="3" fontId="22" fillId="0" borderId="0" xfId="0" applyNumberFormat="1" applyFont="1" applyAlignment="1">
      <alignment horizontal="left" indent="1"/>
    </xf>
    <xf numFmtId="3" fontId="3" fillId="3" borderId="1" xfId="0" applyNumberFormat="1" applyFont="1" applyFill="1" applyBorder="1" applyAlignment="1" applyProtection="1">
      <alignment horizontal="center"/>
      <protection locked="0"/>
    </xf>
    <xf numFmtId="1" fontId="24" fillId="7" borderId="29" xfId="0" applyNumberFormat="1" applyFont="1" applyFill="1" applyBorder="1" applyAlignment="1">
      <alignment horizontal="right" indent="2"/>
    </xf>
    <xf numFmtId="1" fontId="4" fillId="7" borderId="27" xfId="0" applyNumberFormat="1" applyFont="1" applyFill="1" applyBorder="1" applyAlignment="1">
      <alignment horizontal="right" indent="2"/>
    </xf>
    <xf numFmtId="1" fontId="3" fillId="7" borderId="14" xfId="0" applyNumberFormat="1" applyFont="1" applyFill="1" applyBorder="1" applyAlignment="1">
      <alignment horizontal="right" indent="2"/>
    </xf>
    <xf numFmtId="1" fontId="24" fillId="7" borderId="32" xfId="0" applyNumberFormat="1" applyFont="1" applyFill="1" applyBorder="1" applyAlignment="1">
      <alignment horizontal="right" indent="2"/>
    </xf>
    <xf numFmtId="1" fontId="4" fillId="7" borderId="28" xfId="0" applyNumberFormat="1" applyFont="1" applyFill="1" applyBorder="1" applyAlignment="1">
      <alignment horizontal="right" indent="2"/>
    </xf>
    <xf numFmtId="1" fontId="3" fillId="7" borderId="33" xfId="0" applyNumberFormat="1" applyFont="1" applyFill="1" applyBorder="1" applyAlignment="1">
      <alignment horizontal="right" indent="2"/>
    </xf>
    <xf numFmtId="1" fontId="24" fillId="7" borderId="22" xfId="0" applyNumberFormat="1" applyFont="1" applyFill="1" applyBorder="1" applyAlignment="1">
      <alignment horizontal="right" indent="2"/>
    </xf>
    <xf numFmtId="1" fontId="4" fillId="7" borderId="18" xfId="0" applyNumberFormat="1" applyFont="1" applyFill="1" applyBorder="1" applyAlignment="1">
      <alignment horizontal="right" indent="2"/>
    </xf>
    <xf numFmtId="1" fontId="3" fillId="7" borderId="23" xfId="0" applyNumberFormat="1" applyFont="1" applyFill="1" applyBorder="1" applyAlignment="1">
      <alignment horizontal="right" indent="2"/>
    </xf>
    <xf numFmtId="166" fontId="22" fillId="0" borderId="0" xfId="0" applyNumberFormat="1" applyFont="1" applyAlignment="1">
      <alignment horizontal="left" indent="1"/>
    </xf>
    <xf numFmtId="164" fontId="2" fillId="0" borderId="0" xfId="0" applyNumberFormat="1" applyFont="1" applyBorder="1"/>
    <xf numFmtId="2" fontId="2" fillId="0" borderId="0" xfId="0" applyNumberFormat="1" applyFont="1" applyAlignment="1" applyProtection="1">
      <alignment horizontal="right" indent="1"/>
    </xf>
    <xf numFmtId="2" fontId="2" fillId="0" borderId="0" xfId="0" quotePrefix="1" applyNumberFormat="1" applyFont="1" applyFill="1" applyAlignment="1">
      <alignment horizontal="right" indent="1"/>
    </xf>
    <xf numFmtId="2" fontId="2" fillId="0" borderId="0" xfId="0" quotePrefix="1" applyNumberFormat="1" applyFont="1" applyFill="1" applyAlignment="1"/>
    <xf numFmtId="167" fontId="2" fillId="0" borderId="0" xfId="0" applyNumberFormat="1" applyFont="1" applyAlignment="1">
      <alignment horizontal="left" indent="1"/>
    </xf>
    <xf numFmtId="165" fontId="0" fillId="0" borderId="0" xfId="0" applyNumberFormat="1" applyAlignment="1">
      <alignment horizontal="center"/>
    </xf>
    <xf numFmtId="0" fontId="2" fillId="0" borderId="0" xfId="0" applyFont="1" applyAlignment="1">
      <alignment vertical="center"/>
    </xf>
    <xf numFmtId="2" fontId="2" fillId="0" borderId="0" xfId="0" applyNumberFormat="1" applyFont="1" applyAlignment="1">
      <alignment vertical="center"/>
    </xf>
    <xf numFmtId="0" fontId="27" fillId="0" borderId="0" xfId="0" applyFont="1" applyFill="1" applyAlignment="1">
      <alignment horizontal="left" indent="1"/>
    </xf>
    <xf numFmtId="0" fontId="2" fillId="0" borderId="0" xfId="0" applyFont="1" applyFill="1" applyAlignment="1">
      <alignment horizontal="right" indent="1"/>
    </xf>
    <xf numFmtId="164" fontId="4" fillId="6" borderId="16" xfId="0" applyNumberFormat="1" applyFont="1" applyFill="1" applyBorder="1" applyAlignment="1">
      <alignment horizontal="right" indent="2"/>
    </xf>
    <xf numFmtId="164" fontId="4" fillId="6" borderId="18" xfId="0" applyNumberFormat="1" applyFont="1" applyFill="1" applyBorder="1" applyAlignment="1">
      <alignment horizontal="right" indent="2"/>
    </xf>
    <xf numFmtId="0" fontId="0" fillId="0" borderId="0" xfId="0" applyAlignment="1"/>
    <xf numFmtId="0" fontId="0" fillId="0" borderId="0" xfId="0"/>
    <xf numFmtId="0" fontId="2" fillId="0" borderId="0" xfId="0" applyFont="1" applyAlignment="1">
      <alignment wrapText="1"/>
    </xf>
    <xf numFmtId="0" fontId="2" fillId="0" borderId="0" xfId="0" applyFont="1" applyAlignment="1">
      <alignment horizontal="right" wrapText="1"/>
    </xf>
    <xf numFmtId="0" fontId="0" fillId="0" borderId="0" xfId="0" applyAlignment="1">
      <alignment wrapText="1"/>
    </xf>
    <xf numFmtId="0" fontId="2" fillId="0" borderId="0" xfId="0" applyFont="1" applyFill="1" applyAlignment="1">
      <alignment horizontal="right" wrapText="1"/>
    </xf>
    <xf numFmtId="0" fontId="2" fillId="0" borderId="0" xfId="0" applyFont="1" applyBorder="1" applyAlignment="1">
      <alignment horizontal="right" wrapText="1"/>
    </xf>
    <xf numFmtId="166" fontId="2" fillId="0" borderId="0" xfId="0" applyNumberFormat="1" applyFont="1" applyAlignment="1">
      <alignment wrapText="1"/>
    </xf>
    <xf numFmtId="0" fontId="2" fillId="0" borderId="0" xfId="0" applyFont="1" applyAlignment="1">
      <alignment horizontal="left" wrapText="1"/>
    </xf>
    <xf numFmtId="0" fontId="2" fillId="0" borderId="0" xfId="0" applyFont="1" applyFill="1" applyBorder="1" applyAlignment="1">
      <alignment horizontal="right" wrapText="1"/>
    </xf>
    <xf numFmtId="0" fontId="2" fillId="0" borderId="0" xfId="0" applyFont="1" applyAlignment="1"/>
    <xf numFmtId="2" fontId="2" fillId="0" borderId="0" xfId="0" applyNumberFormat="1" applyFont="1" applyAlignment="1"/>
    <xf numFmtId="0" fontId="2" fillId="0" borderId="1" xfId="0" applyFont="1" applyBorder="1" applyAlignment="1">
      <alignment horizontal="right"/>
    </xf>
    <xf numFmtId="0" fontId="2" fillId="0" borderId="1" xfId="0" applyFont="1" applyBorder="1" applyAlignment="1">
      <alignment vertical="center"/>
    </xf>
    <xf numFmtId="0" fontId="2" fillId="0" borderId="1" xfId="0" applyFont="1" applyBorder="1" applyAlignment="1">
      <alignment horizontal="right" vertical="center"/>
    </xf>
    <xf numFmtId="0" fontId="2" fillId="0" borderId="46" xfId="0" applyFont="1" applyBorder="1" applyAlignment="1">
      <alignment horizontal="right"/>
    </xf>
    <xf numFmtId="0" fontId="2" fillId="0" borderId="47" xfId="0" applyFont="1" applyBorder="1" applyAlignment="1">
      <alignment horizontal="right"/>
    </xf>
    <xf numFmtId="0" fontId="2" fillId="0" borderId="46" xfId="0" applyFont="1" applyBorder="1" applyAlignment="1">
      <alignment vertical="center"/>
    </xf>
    <xf numFmtId="0" fontId="2" fillId="0" borderId="47" xfId="0" applyFont="1" applyBorder="1" applyAlignment="1">
      <alignment horizontal="right" vertical="center"/>
    </xf>
    <xf numFmtId="0" fontId="2" fillId="0" borderId="46" xfId="0" applyFont="1" applyBorder="1"/>
    <xf numFmtId="10" fontId="2" fillId="0" borderId="47" xfId="7" applyNumberFormat="1" applyFont="1" applyBorder="1" applyAlignment="1">
      <alignment horizontal="right"/>
    </xf>
    <xf numFmtId="0" fontId="2" fillId="0" borderId="47" xfId="0" applyFont="1" applyBorder="1" applyAlignment="1">
      <alignment wrapText="1"/>
    </xf>
    <xf numFmtId="0" fontId="2" fillId="0" borderId="16" xfId="0" applyFont="1" applyBorder="1"/>
    <xf numFmtId="0" fontId="2" fillId="0" borderId="17" xfId="0" applyFont="1" applyBorder="1"/>
    <xf numFmtId="0" fontId="2" fillId="0" borderId="18" xfId="0" applyFont="1" applyBorder="1" applyAlignment="1">
      <alignment wrapText="1"/>
    </xf>
    <xf numFmtId="164" fontId="2" fillId="0" borderId="0" xfId="0" applyNumberFormat="1" applyFont="1" applyAlignment="1">
      <alignment horizontal="left"/>
    </xf>
    <xf numFmtId="9" fontId="2" fillId="0" borderId="0" xfId="0" applyNumberFormat="1" applyFont="1"/>
    <xf numFmtId="2" fontId="2" fillId="0" borderId="0" xfId="0" applyNumberFormat="1" applyFont="1" applyAlignment="1">
      <alignment horizontal="center"/>
    </xf>
    <xf numFmtId="164" fontId="2" fillId="0" borderId="0" xfId="0" applyNumberFormat="1" applyFont="1" applyAlignment="1">
      <alignment horizontal="center"/>
    </xf>
    <xf numFmtId="0" fontId="2" fillId="0" borderId="0" xfId="0" applyNumberFormat="1" applyFont="1"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164" fontId="3" fillId="0" borderId="1" xfId="0" applyNumberFormat="1" applyFont="1" applyFill="1" applyBorder="1" applyAlignment="1" applyProtection="1">
      <alignment horizontal="center"/>
    </xf>
    <xf numFmtId="0" fontId="3" fillId="39" borderId="13" xfId="0" applyFont="1" applyFill="1" applyBorder="1" applyAlignment="1">
      <alignment horizontal="right"/>
    </xf>
    <xf numFmtId="164" fontId="24" fillId="39" borderId="30" xfId="0" applyNumberFormat="1" applyFont="1" applyFill="1" applyBorder="1" applyAlignment="1">
      <alignment horizontal="right" indent="2"/>
    </xf>
    <xf numFmtId="164" fontId="4" fillId="39" borderId="31" xfId="0" applyNumberFormat="1" applyFont="1" applyFill="1" applyBorder="1" applyAlignment="1">
      <alignment horizontal="right" indent="2"/>
    </xf>
    <xf numFmtId="164" fontId="3" fillId="39" borderId="13" xfId="0" applyNumberFormat="1" applyFont="1" applyFill="1" applyBorder="1" applyAlignment="1">
      <alignment horizontal="right" indent="2"/>
    </xf>
    <xf numFmtId="0" fontId="3" fillId="39" borderId="26" xfId="0" applyFont="1" applyFill="1" applyBorder="1" applyAlignment="1">
      <alignment horizontal="right"/>
    </xf>
    <xf numFmtId="164" fontId="24" fillId="39" borderId="32" xfId="0" applyNumberFormat="1" applyFont="1" applyFill="1" applyBorder="1" applyAlignment="1">
      <alignment horizontal="right" indent="2"/>
    </xf>
    <xf numFmtId="164" fontId="4" fillId="39" borderId="28" xfId="0" applyNumberFormat="1" applyFont="1" applyFill="1" applyBorder="1" applyAlignment="1">
      <alignment horizontal="right" indent="2"/>
    </xf>
    <xf numFmtId="164" fontId="3" fillId="39" borderId="33" xfId="0" applyNumberFormat="1" applyFont="1" applyFill="1" applyBorder="1" applyAlignment="1">
      <alignment horizontal="right" indent="2"/>
    </xf>
    <xf numFmtId="0" fontId="3" fillId="39" borderId="5" xfId="0" applyFont="1" applyFill="1" applyBorder="1" applyAlignment="1">
      <alignment horizontal="right"/>
    </xf>
    <xf numFmtId="164" fontId="4" fillId="39" borderId="16" xfId="0" applyNumberFormat="1" applyFont="1" applyFill="1" applyBorder="1" applyAlignment="1">
      <alignment horizontal="right" indent="2"/>
    </xf>
    <xf numFmtId="164" fontId="4" fillId="39" borderId="18" xfId="0" applyNumberFormat="1" applyFont="1" applyFill="1" applyBorder="1" applyAlignment="1">
      <alignment horizontal="right" indent="2"/>
    </xf>
    <xf numFmtId="164" fontId="4" fillId="39" borderId="15" xfId="0" applyNumberFormat="1" applyFont="1" applyFill="1" applyBorder="1" applyAlignment="1">
      <alignment horizontal="right" indent="2"/>
    </xf>
    <xf numFmtId="0" fontId="0" fillId="0" borderId="10" xfId="0" applyBorder="1"/>
    <xf numFmtId="0" fontId="0" fillId="0" borderId="10" xfId="0" applyBorder="1" applyAlignment="1">
      <alignment horizontal="center"/>
    </xf>
    <xf numFmtId="2" fontId="0" fillId="0" borderId="10" xfId="0" applyNumberFormat="1" applyBorder="1" applyAlignment="1">
      <alignment horizontal="center" wrapText="1"/>
    </xf>
    <xf numFmtId="0" fontId="0" fillId="0" borderId="10" xfId="0" applyBorder="1" applyAlignment="1">
      <alignment horizontal="left"/>
    </xf>
    <xf numFmtId="0" fontId="2" fillId="40" borderId="0" xfId="0" applyFont="1" applyFill="1" applyProtection="1"/>
    <xf numFmtId="2" fontId="2" fillId="40" borderId="0" xfId="0" applyNumberFormat="1" applyFont="1" applyFill="1"/>
    <xf numFmtId="0" fontId="2" fillId="40" borderId="0" xfId="0" applyFont="1" applyFill="1" applyBorder="1" applyAlignment="1">
      <alignment horizontal="left"/>
    </xf>
    <xf numFmtId="1" fontId="2" fillId="40" borderId="0" xfId="0" applyNumberFormat="1" applyFont="1" applyFill="1"/>
    <xf numFmtId="0" fontId="2" fillId="40" borderId="0" xfId="0" applyFont="1" applyFill="1" applyAlignment="1">
      <alignment horizontal="right"/>
    </xf>
    <xf numFmtId="0" fontId="2" fillId="0" borderId="1" xfId="0" applyFont="1" applyBorder="1" applyAlignment="1">
      <alignment wrapText="1"/>
    </xf>
    <xf numFmtId="0" fontId="2" fillId="0" borderId="0" xfId="0" applyFont="1" applyAlignment="1">
      <alignment horizontal="center" vertical="center"/>
    </xf>
    <xf numFmtId="0" fontId="2" fillId="0" borderId="0" xfId="0" applyNumberFormat="1" applyFont="1" applyAlignment="1">
      <alignment horizontal="center" vertical="center"/>
    </xf>
    <xf numFmtId="164" fontId="0" fillId="0" borderId="0" xfId="0" applyNumberFormat="1" applyFont="1" applyAlignment="1">
      <alignment horizontal="center"/>
    </xf>
    <xf numFmtId="2" fontId="2" fillId="0" borderId="0" xfId="0" applyNumberFormat="1" applyFont="1" applyAlignment="1">
      <alignment horizontal="center" vertical="center"/>
    </xf>
    <xf numFmtId="0" fontId="39" fillId="41" borderId="6" xfId="0" applyFont="1" applyFill="1" applyBorder="1" applyAlignment="1">
      <alignment horizontal="right"/>
    </xf>
    <xf numFmtId="3" fontId="39" fillId="41" borderId="14" xfId="0" applyNumberFormat="1" applyFont="1" applyFill="1" applyBorder="1" applyAlignment="1">
      <alignment horizontal="center"/>
    </xf>
    <xf numFmtId="0" fontId="39" fillId="41" borderId="5" xfId="0" applyFont="1" applyFill="1" applyBorder="1" applyAlignment="1">
      <alignment horizontal="right"/>
    </xf>
    <xf numFmtId="37" fontId="39" fillId="41" borderId="49" xfId="49" applyNumberFormat="1" applyFont="1" applyFill="1" applyBorder="1" applyAlignment="1">
      <alignment horizontal="center"/>
    </xf>
    <xf numFmtId="0" fontId="39" fillId="41" borderId="31" xfId="0" applyFont="1" applyFill="1" applyBorder="1" applyAlignment="1">
      <alignment horizontal="right"/>
    </xf>
    <xf numFmtId="168" fontId="3" fillId="3" borderId="1" xfId="0" applyNumberFormat="1" applyFont="1" applyFill="1" applyBorder="1" applyAlignment="1" applyProtection="1">
      <alignment horizontal="center"/>
      <protection locked="0"/>
    </xf>
    <xf numFmtId="169" fontId="39" fillId="41" borderId="48" xfId="0" applyNumberFormat="1" applyFont="1" applyFill="1" applyBorder="1" applyAlignment="1">
      <alignment horizontal="center"/>
    </xf>
    <xf numFmtId="0" fontId="1" fillId="0" borderId="0" xfId="0" applyFont="1" applyAlignment="1">
      <alignment horizontal="left" indent="1"/>
    </xf>
    <xf numFmtId="0" fontId="43" fillId="0" borderId="0" xfId="0" applyFont="1"/>
    <xf numFmtId="0" fontId="44" fillId="0" borderId="0" xfId="0" applyFont="1"/>
    <xf numFmtId="0" fontId="0" fillId="2" borderId="0" xfId="0" applyFill="1"/>
    <xf numFmtId="0" fontId="45" fillId="0" borderId="0" xfId="0" applyFont="1" applyAlignment="1">
      <alignment horizontal="left"/>
    </xf>
    <xf numFmtId="0" fontId="24" fillId="2" borderId="0" xfId="0" applyFont="1" applyFill="1" applyAlignment="1">
      <alignment horizontal="left" indent="1"/>
    </xf>
    <xf numFmtId="0" fontId="24" fillId="0" borderId="0" xfId="0" applyFont="1" applyAlignment="1">
      <alignment horizontal="left" indent="1"/>
    </xf>
    <xf numFmtId="0" fontId="3" fillId="3" borderId="2" xfId="0" applyFont="1" applyFill="1" applyBorder="1" applyAlignment="1">
      <alignment horizontal="center"/>
    </xf>
    <xf numFmtId="0" fontId="1" fillId="0" borderId="4" xfId="0" applyFont="1" applyBorder="1" applyAlignment="1"/>
    <xf numFmtId="0" fontId="5" fillId="2" borderId="2" xfId="0" applyFont="1" applyFill="1" applyBorder="1" applyAlignment="1">
      <alignment horizontal="center"/>
    </xf>
    <xf numFmtId="0" fontId="5" fillId="2" borderId="3" xfId="0" applyFont="1" applyFill="1" applyBorder="1" applyAlignment="1">
      <alignment horizontal="center"/>
    </xf>
    <xf numFmtId="0" fontId="0" fillId="0" borderId="3" xfId="0" applyBorder="1" applyAlignment="1"/>
    <xf numFmtId="0" fontId="0" fillId="0" borderId="4" xfId="0" applyBorder="1" applyAlignment="1"/>
    <xf numFmtId="0" fontId="22" fillId="0" borderId="43" xfId="0" applyFont="1" applyBorder="1" applyAlignment="1">
      <alignment horizontal="center"/>
    </xf>
    <xf numFmtId="0" fontId="22" fillId="0" borderId="44" xfId="0" applyFont="1" applyBorder="1" applyAlignment="1">
      <alignment horizontal="center"/>
    </xf>
    <xf numFmtId="2" fontId="22" fillId="0" borderId="44" xfId="0" applyNumberFormat="1" applyFont="1" applyBorder="1" applyAlignment="1">
      <alignment horizontal="center"/>
    </xf>
    <xf numFmtId="2" fontId="22" fillId="0" borderId="45" xfId="0" applyNumberFormat="1" applyFont="1" applyBorder="1" applyAlignment="1">
      <alignment horizontal="center"/>
    </xf>
    <xf numFmtId="0" fontId="24" fillId="0" borderId="0" xfId="0" applyFont="1" applyAlignment="1">
      <alignment horizontal="left" wrapText="1" indent="1"/>
    </xf>
  </cellXfs>
  <cellStyles count="5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49" builtinId="3"/>
    <cellStyle name="Comma0" xfId="2"/>
    <cellStyle name="Currency0" xfId="3"/>
    <cellStyle name="Date" xfId="4"/>
    <cellStyle name="Explanatory Text" xfId="23" builtinId="53" customBuiltin="1"/>
    <cellStyle name="Fixed" xfId="5"/>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Input" xfId="16" builtinId="20" customBuiltin="1"/>
    <cellStyle name="Linked Cell" xfId="19" builtinId="24" customBuiltin="1"/>
    <cellStyle name="Neutral" xfId="15" builtinId="28" customBuiltin="1"/>
    <cellStyle name="Normal" xfId="0" builtinId="0"/>
    <cellStyle name="Normal 2" xfId="1"/>
    <cellStyle name="Normal 2 2" xfId="6"/>
    <cellStyle name="Note" xfId="22" builtinId="10" customBuiltin="1"/>
    <cellStyle name="Output" xfId="17" builtinId="21" customBuiltin="1"/>
    <cellStyle name="Percent" xfId="7" builtinId="5"/>
    <cellStyle name="Title" xfId="8" builtinId="15" customBuiltin="1"/>
    <cellStyle name="Total" xfId="24" builtinId="25" customBuiltin="1"/>
    <cellStyle name="Warning Text" xfId="21" builtinId="11" customBuiltin="1"/>
  </cellStyles>
  <dxfs count="0"/>
  <tableStyles count="0" defaultTableStyle="TableStyleMedium2" defaultPivotStyle="PivotStyleLight16"/>
  <colors>
    <mruColors>
      <color rgb="FFFFFF99"/>
      <color rgb="FFFFFFCC"/>
      <color rgb="FF99FFCC"/>
      <color rgb="FFCCFFCC"/>
      <color rgb="FFCCECFF"/>
      <color rgb="FF00990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4</xdr:col>
      <xdr:colOff>482600</xdr:colOff>
      <xdr:row>3</xdr:row>
      <xdr:rowOff>6350</xdr:rowOff>
    </xdr:to>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8300"/>
          <a:ext cx="29210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0</xdr:rowOff>
    </xdr:from>
    <xdr:to>
      <xdr:col>4</xdr:col>
      <xdr:colOff>482600</xdr:colOff>
      <xdr:row>5</xdr:row>
      <xdr:rowOff>6350</xdr:rowOff>
    </xdr:to>
    <xdr:pic>
      <xdr:nvPicPr>
        <xdr:cNvPr id="8"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62000"/>
          <a:ext cx="29210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0</xdr:rowOff>
    </xdr:from>
    <xdr:to>
      <xdr:col>4</xdr:col>
      <xdr:colOff>482600</xdr:colOff>
      <xdr:row>12</xdr:row>
      <xdr:rowOff>6350</xdr:rowOff>
    </xdr:to>
    <xdr:pic>
      <xdr:nvPicPr>
        <xdr:cNvPr id="9" name="Picture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143000"/>
          <a:ext cx="29210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4</xdr:col>
      <xdr:colOff>482600</xdr:colOff>
      <xdr:row>14</xdr:row>
      <xdr:rowOff>6350</xdr:rowOff>
    </xdr:to>
    <xdr:pic>
      <xdr:nvPicPr>
        <xdr:cNvPr id="11" name="Picture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524000"/>
          <a:ext cx="29210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0</xdr:rowOff>
    </xdr:from>
    <xdr:to>
      <xdr:col>4</xdr:col>
      <xdr:colOff>482600</xdr:colOff>
      <xdr:row>16</xdr:row>
      <xdr:rowOff>6350</xdr:rowOff>
    </xdr:to>
    <xdr:pic>
      <xdr:nvPicPr>
        <xdr:cNvPr id="13" name="Picture 12"/>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905000"/>
          <a:ext cx="29210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4</xdr:col>
      <xdr:colOff>482600</xdr:colOff>
      <xdr:row>18</xdr:row>
      <xdr:rowOff>6350</xdr:rowOff>
    </xdr:to>
    <xdr:pic>
      <xdr:nvPicPr>
        <xdr:cNvPr id="14" name="Picture 13"/>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2286000"/>
          <a:ext cx="29210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4</xdr:col>
      <xdr:colOff>482600</xdr:colOff>
      <xdr:row>20</xdr:row>
      <xdr:rowOff>196850</xdr:rowOff>
    </xdr:to>
    <xdr:pic>
      <xdr:nvPicPr>
        <xdr:cNvPr id="15" name="Picture 14"/>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2667000"/>
          <a:ext cx="29210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4</xdr:col>
      <xdr:colOff>482600</xdr:colOff>
      <xdr:row>22</xdr:row>
      <xdr:rowOff>196850</xdr:rowOff>
    </xdr:to>
    <xdr:pic>
      <xdr:nvPicPr>
        <xdr:cNvPr id="17" name="Picture 16"/>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3048000"/>
          <a:ext cx="29210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4</xdr:col>
      <xdr:colOff>482600</xdr:colOff>
      <xdr:row>24</xdr:row>
      <xdr:rowOff>196850</xdr:rowOff>
    </xdr:to>
    <xdr:pic>
      <xdr:nvPicPr>
        <xdr:cNvPr id="18" name="Picture 17"/>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429000"/>
          <a:ext cx="29210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0</xdr:rowOff>
    </xdr:from>
    <xdr:to>
      <xdr:col>4</xdr:col>
      <xdr:colOff>482600</xdr:colOff>
      <xdr:row>27</xdr:row>
      <xdr:rowOff>6350</xdr:rowOff>
    </xdr:to>
    <xdr:pic>
      <xdr:nvPicPr>
        <xdr:cNvPr id="20" name="Picture 19"/>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3810000"/>
          <a:ext cx="29210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xdr:row>
      <xdr:rowOff>0</xdr:rowOff>
    </xdr:from>
    <xdr:to>
      <xdr:col>4</xdr:col>
      <xdr:colOff>482600</xdr:colOff>
      <xdr:row>30</xdr:row>
      <xdr:rowOff>6350</xdr:rowOff>
    </xdr:to>
    <xdr:pic>
      <xdr:nvPicPr>
        <xdr:cNvPr id="21" name="Picture 20"/>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4191000"/>
          <a:ext cx="29210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4</xdr:col>
      <xdr:colOff>482600</xdr:colOff>
      <xdr:row>32</xdr:row>
      <xdr:rowOff>6350</xdr:rowOff>
    </xdr:to>
    <xdr:pic>
      <xdr:nvPicPr>
        <xdr:cNvPr id="23" name="Picture 22"/>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4572000"/>
          <a:ext cx="29210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0</xdr:rowOff>
    </xdr:from>
    <xdr:to>
      <xdr:col>4</xdr:col>
      <xdr:colOff>482600</xdr:colOff>
      <xdr:row>34</xdr:row>
      <xdr:rowOff>6350</xdr:rowOff>
    </xdr:to>
    <xdr:pic>
      <xdr:nvPicPr>
        <xdr:cNvPr id="24" name="Picture 23"/>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0" y="4953000"/>
          <a:ext cx="29210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4</xdr:col>
      <xdr:colOff>463550</xdr:colOff>
      <xdr:row>37</xdr:row>
      <xdr:rowOff>6350</xdr:rowOff>
    </xdr:to>
    <xdr:pic>
      <xdr:nvPicPr>
        <xdr:cNvPr id="25" name="Picture 24"/>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219200" y="5334000"/>
          <a:ext cx="16827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xdr:row>
      <xdr:rowOff>0</xdr:rowOff>
    </xdr:from>
    <xdr:to>
      <xdr:col>4</xdr:col>
      <xdr:colOff>463550</xdr:colOff>
      <xdr:row>39</xdr:row>
      <xdr:rowOff>6350</xdr:rowOff>
    </xdr:to>
    <xdr:pic>
      <xdr:nvPicPr>
        <xdr:cNvPr id="26" name="Picture 25"/>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219200" y="5715000"/>
          <a:ext cx="16827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xdr:row>
      <xdr:rowOff>0</xdr:rowOff>
    </xdr:from>
    <xdr:to>
      <xdr:col>4</xdr:col>
      <xdr:colOff>463550</xdr:colOff>
      <xdr:row>41</xdr:row>
      <xdr:rowOff>6350</xdr:rowOff>
    </xdr:to>
    <xdr:pic>
      <xdr:nvPicPr>
        <xdr:cNvPr id="27" name="Picture 26"/>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219200" y="6096000"/>
          <a:ext cx="16827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4</xdr:col>
      <xdr:colOff>463550</xdr:colOff>
      <xdr:row>42</xdr:row>
      <xdr:rowOff>196850</xdr:rowOff>
    </xdr:to>
    <xdr:pic>
      <xdr:nvPicPr>
        <xdr:cNvPr id="28" name="Picture 27"/>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219200" y="6477000"/>
          <a:ext cx="16827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52</xdr:row>
      <xdr:rowOff>0</xdr:rowOff>
    </xdr:from>
    <xdr:to>
      <xdr:col>4</xdr:col>
      <xdr:colOff>463550</xdr:colOff>
      <xdr:row>53</xdr:row>
      <xdr:rowOff>6350</xdr:rowOff>
    </xdr:to>
    <xdr:pic>
      <xdr:nvPicPr>
        <xdr:cNvPr id="29" name="Picture 28"/>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219200" y="6858000"/>
          <a:ext cx="16827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54</xdr:row>
      <xdr:rowOff>0</xdr:rowOff>
    </xdr:from>
    <xdr:to>
      <xdr:col>4</xdr:col>
      <xdr:colOff>463550</xdr:colOff>
      <xdr:row>54</xdr:row>
      <xdr:rowOff>196850</xdr:rowOff>
    </xdr:to>
    <xdr:pic>
      <xdr:nvPicPr>
        <xdr:cNvPr id="30" name="Picture 29"/>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219200" y="7239000"/>
          <a:ext cx="16827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57</xdr:row>
      <xdr:rowOff>0</xdr:rowOff>
    </xdr:from>
    <xdr:to>
      <xdr:col>4</xdr:col>
      <xdr:colOff>463550</xdr:colOff>
      <xdr:row>58</xdr:row>
      <xdr:rowOff>6350</xdr:rowOff>
    </xdr:to>
    <xdr:pic>
      <xdr:nvPicPr>
        <xdr:cNvPr id="31" name="Picture 30"/>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219200" y="7620000"/>
          <a:ext cx="16827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60</xdr:row>
      <xdr:rowOff>0</xdr:rowOff>
    </xdr:from>
    <xdr:to>
      <xdr:col>4</xdr:col>
      <xdr:colOff>463550</xdr:colOff>
      <xdr:row>61</xdr:row>
      <xdr:rowOff>6350</xdr:rowOff>
    </xdr:to>
    <xdr:pic>
      <xdr:nvPicPr>
        <xdr:cNvPr id="33" name="Picture 32"/>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219200" y="8763000"/>
          <a:ext cx="16827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63</xdr:row>
      <xdr:rowOff>0</xdr:rowOff>
    </xdr:from>
    <xdr:to>
      <xdr:col>4</xdr:col>
      <xdr:colOff>463550</xdr:colOff>
      <xdr:row>64</xdr:row>
      <xdr:rowOff>6350</xdr:rowOff>
    </xdr:to>
    <xdr:pic>
      <xdr:nvPicPr>
        <xdr:cNvPr id="34" name="Picture 33"/>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219200" y="9334500"/>
          <a:ext cx="16827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65</xdr:row>
      <xdr:rowOff>0</xdr:rowOff>
    </xdr:from>
    <xdr:to>
      <xdr:col>4</xdr:col>
      <xdr:colOff>463550</xdr:colOff>
      <xdr:row>66</xdr:row>
      <xdr:rowOff>6350</xdr:rowOff>
    </xdr:to>
    <xdr:pic>
      <xdr:nvPicPr>
        <xdr:cNvPr id="35" name="Picture 34"/>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219200" y="9715500"/>
          <a:ext cx="16827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67</xdr:row>
      <xdr:rowOff>0</xdr:rowOff>
    </xdr:from>
    <xdr:to>
      <xdr:col>4</xdr:col>
      <xdr:colOff>463550</xdr:colOff>
      <xdr:row>68</xdr:row>
      <xdr:rowOff>6350</xdr:rowOff>
    </xdr:to>
    <xdr:pic>
      <xdr:nvPicPr>
        <xdr:cNvPr id="37" name="Picture 36"/>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219200" y="10096500"/>
          <a:ext cx="16827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69</xdr:row>
      <xdr:rowOff>0</xdr:rowOff>
    </xdr:from>
    <xdr:to>
      <xdr:col>4</xdr:col>
      <xdr:colOff>463550</xdr:colOff>
      <xdr:row>69</xdr:row>
      <xdr:rowOff>196850</xdr:rowOff>
    </xdr:to>
    <xdr:pic>
      <xdr:nvPicPr>
        <xdr:cNvPr id="38" name="Picture 37"/>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219200" y="10477500"/>
          <a:ext cx="16827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71</xdr:row>
      <xdr:rowOff>0</xdr:rowOff>
    </xdr:from>
    <xdr:to>
      <xdr:col>4</xdr:col>
      <xdr:colOff>463550</xdr:colOff>
      <xdr:row>71</xdr:row>
      <xdr:rowOff>196850</xdr:rowOff>
    </xdr:to>
    <xdr:pic>
      <xdr:nvPicPr>
        <xdr:cNvPr id="39" name="Picture 38"/>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1219200" y="10858500"/>
          <a:ext cx="16827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73</xdr:row>
      <xdr:rowOff>0</xdr:rowOff>
    </xdr:from>
    <xdr:to>
      <xdr:col>4</xdr:col>
      <xdr:colOff>463550</xdr:colOff>
      <xdr:row>74</xdr:row>
      <xdr:rowOff>6350</xdr:rowOff>
    </xdr:to>
    <xdr:pic>
      <xdr:nvPicPr>
        <xdr:cNvPr id="41" name="Picture 40"/>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1219200" y="11239500"/>
          <a:ext cx="16827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75</xdr:row>
      <xdr:rowOff>0</xdr:rowOff>
    </xdr:from>
    <xdr:to>
      <xdr:col>4</xdr:col>
      <xdr:colOff>463550</xdr:colOff>
      <xdr:row>75</xdr:row>
      <xdr:rowOff>196850</xdr:rowOff>
    </xdr:to>
    <xdr:pic>
      <xdr:nvPicPr>
        <xdr:cNvPr id="43" name="Picture 42"/>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1219200" y="11620500"/>
          <a:ext cx="16827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77</xdr:row>
      <xdr:rowOff>0</xdr:rowOff>
    </xdr:from>
    <xdr:to>
      <xdr:col>4</xdr:col>
      <xdr:colOff>463550</xdr:colOff>
      <xdr:row>78</xdr:row>
      <xdr:rowOff>6350</xdr:rowOff>
    </xdr:to>
    <xdr:pic>
      <xdr:nvPicPr>
        <xdr:cNvPr id="44" name="Picture 43"/>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1219200" y="11880850"/>
          <a:ext cx="16827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400050</xdr:colOff>
      <xdr:row>45</xdr:row>
      <xdr:rowOff>0</xdr:rowOff>
    </xdr:from>
    <xdr:to>
      <xdr:col>4</xdr:col>
      <xdr:colOff>463550</xdr:colOff>
      <xdr:row>46</xdr:row>
      <xdr:rowOff>6350</xdr:rowOff>
    </xdr:to>
    <xdr:pic>
      <xdr:nvPicPr>
        <xdr:cNvPr id="45" name="Picture 44"/>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1009650" y="7118350"/>
          <a:ext cx="18923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393700</xdr:colOff>
      <xdr:row>47</xdr:row>
      <xdr:rowOff>0</xdr:rowOff>
    </xdr:from>
    <xdr:to>
      <xdr:col>4</xdr:col>
      <xdr:colOff>457200</xdr:colOff>
      <xdr:row>48</xdr:row>
      <xdr:rowOff>6350</xdr:rowOff>
    </xdr:to>
    <xdr:pic>
      <xdr:nvPicPr>
        <xdr:cNvPr id="46" name="Picture 45"/>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1003300" y="7499350"/>
          <a:ext cx="18923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387350</xdr:colOff>
      <xdr:row>49</xdr:row>
      <xdr:rowOff>6350</xdr:rowOff>
    </xdr:from>
    <xdr:to>
      <xdr:col>4</xdr:col>
      <xdr:colOff>450850</xdr:colOff>
      <xdr:row>50</xdr:row>
      <xdr:rowOff>12700</xdr:rowOff>
    </xdr:to>
    <xdr:pic>
      <xdr:nvPicPr>
        <xdr:cNvPr id="47" name="Picture 46"/>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996950" y="7886700"/>
          <a:ext cx="189230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workbookViewId="0">
      <pane ySplit="2" topLeftCell="A60" activePane="bottomLeft" state="frozen"/>
      <selection pane="bottomLeft" activeCell="F72" sqref="F72"/>
    </sheetView>
  </sheetViews>
  <sheetFormatPr defaultRowHeight="14.4" x14ac:dyDescent="0.3"/>
  <cols>
    <col min="6" max="6" width="100.109375" style="246" customWidth="1"/>
  </cols>
  <sheetData>
    <row r="1" spans="1:7" s="242" customFormat="1" ht="18" customHeight="1" x14ac:dyDescent="0.35">
      <c r="A1" s="241" t="s">
        <v>272</v>
      </c>
      <c r="B1" s="241"/>
      <c r="C1" s="241"/>
      <c r="D1" s="241"/>
      <c r="E1" s="241"/>
      <c r="F1" s="244" t="s">
        <v>271</v>
      </c>
      <c r="G1" s="241"/>
    </row>
    <row r="2" spans="1:7" s="243" customFormat="1" ht="1.95" customHeight="1" x14ac:dyDescent="0.3">
      <c r="F2" s="245"/>
    </row>
    <row r="3" spans="1:7" ht="15" customHeight="1" x14ac:dyDescent="0.3">
      <c r="F3" s="246" t="s">
        <v>273</v>
      </c>
    </row>
    <row r="4" spans="1:7" ht="15" customHeight="1" x14ac:dyDescent="0.3"/>
    <row r="5" spans="1:7" ht="15" customHeight="1" x14ac:dyDescent="0.3">
      <c r="F5" s="246" t="s">
        <v>274</v>
      </c>
    </row>
    <row r="6" spans="1:7" s="175" customFormat="1" ht="15" customHeight="1" x14ac:dyDescent="0.3">
      <c r="F6" s="246" t="s">
        <v>275</v>
      </c>
    </row>
    <row r="7" spans="1:7" s="175" customFormat="1" ht="15" customHeight="1" x14ac:dyDescent="0.3">
      <c r="F7" s="246" t="s">
        <v>276</v>
      </c>
    </row>
    <row r="8" spans="1:7" s="175" customFormat="1" ht="15" customHeight="1" x14ac:dyDescent="0.3">
      <c r="F8" s="246" t="s">
        <v>277</v>
      </c>
    </row>
    <row r="9" spans="1:7" s="175" customFormat="1" ht="15" customHeight="1" x14ac:dyDescent="0.3">
      <c r="F9" s="246" t="s">
        <v>278</v>
      </c>
    </row>
    <row r="10" spans="1:7" s="175" customFormat="1" ht="15" customHeight="1" x14ac:dyDescent="0.3">
      <c r="F10" s="246" t="s">
        <v>279</v>
      </c>
    </row>
    <row r="11" spans="1:7" ht="15" customHeight="1" x14ac:dyDescent="0.3"/>
    <row r="12" spans="1:7" ht="15" customHeight="1" x14ac:dyDescent="0.3">
      <c r="F12" s="246" t="s">
        <v>280</v>
      </c>
    </row>
    <row r="13" spans="1:7" ht="15" customHeight="1" x14ac:dyDescent="0.3"/>
    <row r="14" spans="1:7" ht="15" customHeight="1" x14ac:dyDescent="0.3">
      <c r="F14" s="246" t="s">
        <v>281</v>
      </c>
    </row>
    <row r="15" spans="1:7" ht="15" customHeight="1" x14ac:dyDescent="0.3"/>
    <row r="16" spans="1:7" ht="15" customHeight="1" x14ac:dyDescent="0.3">
      <c r="F16" s="246" t="s">
        <v>282</v>
      </c>
    </row>
    <row r="17" spans="6:6" s="175" customFormat="1" ht="15" customHeight="1" x14ac:dyDescent="0.3">
      <c r="F17" s="246"/>
    </row>
    <row r="18" spans="6:6" ht="15" customHeight="1" x14ac:dyDescent="0.3">
      <c r="F18" s="246" t="s">
        <v>283</v>
      </c>
    </row>
    <row r="19" spans="6:6" ht="15" customHeight="1" x14ac:dyDescent="0.3">
      <c r="F19" s="246" t="s">
        <v>284</v>
      </c>
    </row>
    <row r="20" spans="6:6" s="175" customFormat="1" ht="15" customHeight="1" x14ac:dyDescent="0.3">
      <c r="F20" s="246"/>
    </row>
    <row r="21" spans="6:6" ht="44.4" customHeight="1" x14ac:dyDescent="0.3">
      <c r="F21" s="257" t="s">
        <v>285</v>
      </c>
    </row>
    <row r="22" spans="6:6" ht="15" customHeight="1" x14ac:dyDescent="0.3"/>
    <row r="23" spans="6:6" ht="49.8" customHeight="1" x14ac:dyDescent="0.3">
      <c r="F23" s="257" t="s">
        <v>286</v>
      </c>
    </row>
    <row r="24" spans="6:6" ht="15" customHeight="1" x14ac:dyDescent="0.3"/>
    <row r="25" spans="6:6" ht="44.4" customHeight="1" x14ac:dyDescent="0.3">
      <c r="F25" s="257" t="s">
        <v>287</v>
      </c>
    </row>
    <row r="26" spans="6:6" ht="15" customHeight="1" x14ac:dyDescent="0.3"/>
    <row r="27" spans="6:6" ht="15" customHeight="1" x14ac:dyDescent="0.3">
      <c r="F27" s="246" t="s">
        <v>288</v>
      </c>
    </row>
    <row r="28" spans="6:6" s="175" customFormat="1" ht="15" customHeight="1" x14ac:dyDescent="0.3">
      <c r="F28" s="246" t="s">
        <v>289</v>
      </c>
    </row>
    <row r="29" spans="6:6" ht="15" customHeight="1" x14ac:dyDescent="0.3"/>
    <row r="30" spans="6:6" ht="15" customHeight="1" x14ac:dyDescent="0.3">
      <c r="F30" s="246" t="s">
        <v>290</v>
      </c>
    </row>
    <row r="31" spans="6:6" ht="15" customHeight="1" x14ac:dyDescent="0.3"/>
    <row r="32" spans="6:6" ht="15" customHeight="1" x14ac:dyDescent="0.3">
      <c r="F32" s="246" t="s">
        <v>291</v>
      </c>
    </row>
    <row r="33" spans="2:6" ht="15" customHeight="1" x14ac:dyDescent="0.3"/>
    <row r="34" spans="2:6" ht="15" customHeight="1" x14ac:dyDescent="0.3">
      <c r="F34" s="246" t="s">
        <v>292</v>
      </c>
    </row>
    <row r="35" spans="2:6" s="175" customFormat="1" ht="15" customHeight="1" x14ac:dyDescent="0.3">
      <c r="F35" s="246"/>
    </row>
    <row r="36" spans="2:6" ht="15" customHeight="1" x14ac:dyDescent="0.3">
      <c r="B36" s="14" t="s">
        <v>3</v>
      </c>
    </row>
    <row r="37" spans="2:6" ht="15" customHeight="1" x14ac:dyDescent="0.3">
      <c r="F37" s="246" t="s">
        <v>293</v>
      </c>
    </row>
    <row r="38" spans="2:6" ht="15" customHeight="1" x14ac:dyDescent="0.3"/>
    <row r="39" spans="2:6" ht="15" customHeight="1" x14ac:dyDescent="0.3">
      <c r="F39" s="246" t="s">
        <v>294</v>
      </c>
    </row>
    <row r="40" spans="2:6" ht="15" customHeight="1" x14ac:dyDescent="0.3"/>
    <row r="41" spans="2:6" ht="15" customHeight="1" x14ac:dyDescent="0.3">
      <c r="F41" s="246" t="s">
        <v>295</v>
      </c>
    </row>
    <row r="42" spans="2:6" ht="15" customHeight="1" x14ac:dyDescent="0.3"/>
    <row r="43" spans="2:6" ht="46.8" customHeight="1" x14ac:dyDescent="0.3">
      <c r="F43" s="257" t="s">
        <v>296</v>
      </c>
    </row>
    <row r="44" spans="2:6" s="175" customFormat="1" ht="15" customHeight="1" x14ac:dyDescent="0.3">
      <c r="F44" s="246"/>
    </row>
    <row r="45" spans="2:6" s="175" customFormat="1" ht="15" customHeight="1" x14ac:dyDescent="0.3">
      <c r="B45" s="14" t="s">
        <v>4</v>
      </c>
      <c r="F45" s="246"/>
    </row>
    <row r="46" spans="2:6" s="175" customFormat="1" ht="15" customHeight="1" x14ac:dyDescent="0.3">
      <c r="F46" s="246" t="s">
        <v>297</v>
      </c>
    </row>
    <row r="47" spans="2:6" s="175" customFormat="1" ht="15" customHeight="1" x14ac:dyDescent="0.3">
      <c r="F47" s="246"/>
    </row>
    <row r="48" spans="2:6" s="175" customFormat="1" ht="15" customHeight="1" x14ac:dyDescent="0.3">
      <c r="F48" s="246" t="s">
        <v>298</v>
      </c>
    </row>
    <row r="49" spans="2:6" s="175" customFormat="1" ht="15" customHeight="1" x14ac:dyDescent="0.3">
      <c r="F49" s="246"/>
    </row>
    <row r="50" spans="2:6" s="175" customFormat="1" ht="15" customHeight="1" x14ac:dyDescent="0.3">
      <c r="F50" s="246" t="s">
        <v>298</v>
      </c>
    </row>
    <row r="51" spans="2:6" s="175" customFormat="1" ht="15" customHeight="1" x14ac:dyDescent="0.3">
      <c r="F51" s="246"/>
    </row>
    <row r="52" spans="2:6" ht="15" customHeight="1" x14ac:dyDescent="0.3">
      <c r="B52" s="14" t="s">
        <v>37</v>
      </c>
    </row>
    <row r="53" spans="2:6" ht="15" customHeight="1" x14ac:dyDescent="0.3">
      <c r="F53" s="246" t="s">
        <v>299</v>
      </c>
    </row>
    <row r="54" spans="2:6" ht="15" customHeight="1" x14ac:dyDescent="0.3"/>
    <row r="55" spans="2:6" ht="33" customHeight="1" x14ac:dyDescent="0.3">
      <c r="F55" s="257" t="s">
        <v>300</v>
      </c>
    </row>
    <row r="56" spans="2:6" s="175" customFormat="1" ht="15" customHeight="1" x14ac:dyDescent="0.3">
      <c r="F56" s="246"/>
    </row>
    <row r="57" spans="2:6" ht="15" customHeight="1" x14ac:dyDescent="0.3">
      <c r="B57" s="240" t="s">
        <v>65</v>
      </c>
    </row>
    <row r="58" spans="2:6" ht="15" customHeight="1" x14ac:dyDescent="0.3">
      <c r="F58" s="246" t="s">
        <v>301</v>
      </c>
    </row>
    <row r="59" spans="2:6" ht="15" customHeight="1" x14ac:dyDescent="0.3"/>
    <row r="60" spans="2:6" ht="15" customHeight="1" x14ac:dyDescent="0.3">
      <c r="B60" s="240" t="s">
        <v>72</v>
      </c>
    </row>
    <row r="61" spans="2:6" ht="15" customHeight="1" x14ac:dyDescent="0.3">
      <c r="F61" s="246" t="s">
        <v>302</v>
      </c>
    </row>
    <row r="62" spans="2:6" ht="15" customHeight="1" x14ac:dyDescent="0.3"/>
    <row r="63" spans="2:6" ht="15" customHeight="1" x14ac:dyDescent="0.3">
      <c r="B63" s="240" t="s">
        <v>84</v>
      </c>
    </row>
    <row r="64" spans="2:6" ht="15" customHeight="1" x14ac:dyDescent="0.3">
      <c r="F64" s="246" t="s">
        <v>303</v>
      </c>
    </row>
    <row r="65" spans="6:6" ht="15" customHeight="1" x14ac:dyDescent="0.3"/>
    <row r="66" spans="6:6" ht="15" customHeight="1" x14ac:dyDescent="0.3">
      <c r="F66" s="246" t="s">
        <v>304</v>
      </c>
    </row>
    <row r="67" spans="6:6" ht="15" customHeight="1" x14ac:dyDescent="0.3"/>
    <row r="68" spans="6:6" ht="15" customHeight="1" x14ac:dyDescent="0.3">
      <c r="F68" s="246" t="s">
        <v>305</v>
      </c>
    </row>
    <row r="69" spans="6:6" ht="15" customHeight="1" x14ac:dyDescent="0.3"/>
    <row r="70" spans="6:6" ht="31.2" customHeight="1" x14ac:dyDescent="0.3">
      <c r="F70" s="257" t="s">
        <v>306</v>
      </c>
    </row>
    <row r="71" spans="6:6" ht="15" customHeight="1" x14ac:dyDescent="0.3"/>
    <row r="72" spans="6:6" ht="36.6" customHeight="1" x14ac:dyDescent="0.3">
      <c r="F72" s="257" t="s">
        <v>307</v>
      </c>
    </row>
    <row r="73" spans="6:6" ht="15" customHeight="1" x14ac:dyDescent="0.3"/>
    <row r="74" spans="6:6" ht="15" customHeight="1" x14ac:dyDescent="0.3">
      <c r="F74" s="246" t="s">
        <v>308</v>
      </c>
    </row>
    <row r="75" spans="6:6" ht="15" customHeight="1" x14ac:dyDescent="0.3"/>
    <row r="76" spans="6:6" ht="64.2" customHeight="1" x14ac:dyDescent="0.3">
      <c r="F76" s="257" t="s">
        <v>309</v>
      </c>
    </row>
    <row r="77" spans="6:6" ht="15" customHeight="1" x14ac:dyDescent="0.3"/>
    <row r="78" spans="6:6" ht="15" customHeight="1" x14ac:dyDescent="0.3"/>
    <row r="79" spans="6:6" ht="15" customHeight="1" x14ac:dyDescent="0.3"/>
    <row r="80" spans="6:6"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6"/>
  <sheetViews>
    <sheetView tabSelected="1" zoomScaleNormal="100" workbookViewId="0">
      <selection sqref="A1:K1"/>
    </sheetView>
  </sheetViews>
  <sheetFormatPr defaultColWidth="9.21875" defaultRowHeight="14.4" x14ac:dyDescent="0.3"/>
  <cols>
    <col min="1" max="1" width="23.21875" style="3" customWidth="1"/>
    <col min="2" max="2" width="18.5546875" style="3" customWidth="1"/>
    <col min="3" max="3" width="4.21875" style="3" customWidth="1"/>
    <col min="4" max="4" width="13.5546875" style="3" customWidth="1"/>
    <col min="5" max="5" width="10.77734375" style="3" customWidth="1"/>
    <col min="6" max="6" width="10.44140625" style="3" customWidth="1"/>
    <col min="7" max="7" width="12.5546875" style="3" bestFit="1" customWidth="1"/>
    <col min="8" max="8" width="15.5546875" style="176" customWidth="1"/>
    <col min="9" max="9" width="8.44140625" style="3" customWidth="1"/>
    <col min="10" max="10" width="18.44140625" style="3" customWidth="1"/>
    <col min="11" max="11" width="8.5546875" style="3" customWidth="1"/>
    <col min="12" max="12" width="8.77734375" style="3" customWidth="1"/>
    <col min="13" max="13" width="33.5546875" style="3" customWidth="1"/>
    <col min="14" max="16" width="9.21875" style="3" customWidth="1"/>
    <col min="17" max="17" width="19.44140625" style="3" customWidth="1"/>
    <col min="18" max="22" width="9.21875" style="3" customWidth="1"/>
    <col min="23" max="24" width="9.21875" style="3"/>
    <col min="25" max="25" width="20.44140625" style="3" customWidth="1"/>
    <col min="26" max="16384" width="9.21875" style="3"/>
  </cols>
  <sheetData>
    <row r="1" spans="1:23" ht="18" x14ac:dyDescent="0.35">
      <c r="A1" s="249" t="s">
        <v>0</v>
      </c>
      <c r="B1" s="250"/>
      <c r="C1" s="250"/>
      <c r="D1" s="250"/>
      <c r="E1" s="250"/>
      <c r="F1" s="250"/>
      <c r="G1" s="250"/>
      <c r="H1" s="251"/>
      <c r="I1" s="251"/>
      <c r="J1" s="251"/>
      <c r="K1" s="252"/>
    </row>
    <row r="2" spans="1:23" ht="8.1" customHeight="1" thickBot="1" x14ac:dyDescent="0.35">
      <c r="A2" s="51"/>
      <c r="B2" s="52"/>
      <c r="C2" s="52"/>
      <c r="D2" s="52"/>
      <c r="E2" s="52"/>
      <c r="F2" s="52"/>
      <c r="G2" s="52"/>
      <c r="H2" s="178"/>
      <c r="I2" s="174"/>
      <c r="J2" s="174"/>
      <c r="K2" s="174"/>
    </row>
    <row r="3" spans="1:23" ht="15" customHeight="1" thickBot="1" x14ac:dyDescent="0.35">
      <c r="A3" s="247" t="s">
        <v>1</v>
      </c>
      <c r="B3" s="248"/>
      <c r="D3" s="98" t="s">
        <v>2</v>
      </c>
      <c r="E3" s="108" t="s">
        <v>260</v>
      </c>
      <c r="F3" s="109" t="s">
        <v>261</v>
      </c>
      <c r="G3" s="110" t="s">
        <v>262</v>
      </c>
      <c r="H3" s="14" t="s">
        <v>3</v>
      </c>
      <c r="J3" s="14" t="s">
        <v>4</v>
      </c>
      <c r="K3" s="39"/>
      <c r="M3" s="32" t="s">
        <v>5</v>
      </c>
      <c r="N3" s="38"/>
      <c r="Q3" s="13" t="s">
        <v>34</v>
      </c>
    </row>
    <row r="4" spans="1:23" ht="15" customHeight="1" x14ac:dyDescent="0.3">
      <c r="A4" s="14" t="s">
        <v>6</v>
      </c>
      <c r="B4" s="4" t="s">
        <v>256</v>
      </c>
      <c r="D4" s="99" t="s">
        <v>8</v>
      </c>
      <c r="E4" s="111">
        <f>G4-F4</f>
        <v>6.9707670043415355</v>
      </c>
      <c r="F4" s="112">
        <f>FixtureHot*shower_pc*SHeff</f>
        <v>17.113232995658468</v>
      </c>
      <c r="G4" s="113">
        <f>FixtureTot*shower_pc*SHeff</f>
        <v>24.084000000000003</v>
      </c>
      <c r="H4" s="177" t="s">
        <v>9</v>
      </c>
      <c r="I4" s="4">
        <v>2400</v>
      </c>
      <c r="J4" s="10" t="s">
        <v>10</v>
      </c>
      <c r="K4" s="4" t="s">
        <v>11</v>
      </c>
      <c r="M4" s="16" t="s">
        <v>12</v>
      </c>
      <c r="N4" s="22" t="s">
        <v>13</v>
      </c>
      <c r="Q4" s="48" t="s">
        <v>42</v>
      </c>
      <c r="R4" s="48" t="s">
        <v>43</v>
      </c>
      <c r="S4" s="55" t="s">
        <v>44</v>
      </c>
      <c r="T4" s="48" t="s">
        <v>45</v>
      </c>
      <c r="U4" s="50" t="s">
        <v>46</v>
      </c>
      <c r="V4" s="49" t="s">
        <v>47</v>
      </c>
      <c r="W4" s="48" t="s">
        <v>251</v>
      </c>
    </row>
    <row r="5" spans="1:23" ht="15" customHeight="1" x14ac:dyDescent="0.3">
      <c r="A5" s="14" t="s">
        <v>14</v>
      </c>
      <c r="B5" s="4" t="s">
        <v>15</v>
      </c>
      <c r="D5" s="99" t="s">
        <v>16</v>
      </c>
      <c r="E5" s="111">
        <f>G5-F5</f>
        <v>4.097261939218523</v>
      </c>
      <c r="F5" s="118">
        <f>kitch*FixtureHot*faucet_pc*KitchFeff</f>
        <v>10.058778060781474</v>
      </c>
      <c r="G5" s="113">
        <f>kitch*FixtureTot*faucet_pc*KitchFeff</f>
        <v>14.156039999999997</v>
      </c>
      <c r="H5" s="177" t="s">
        <v>17</v>
      </c>
      <c r="I5" s="4">
        <v>3</v>
      </c>
      <c r="J5" s="10" t="s">
        <v>18</v>
      </c>
      <c r="K5" s="4" t="s">
        <v>19</v>
      </c>
      <c r="M5" s="23" t="s">
        <v>15</v>
      </c>
      <c r="N5" s="24">
        <v>1</v>
      </c>
      <c r="Q5" s="15" t="s">
        <v>15</v>
      </c>
      <c r="R5" s="15" t="s">
        <v>15</v>
      </c>
      <c r="S5" s="15" t="s">
        <v>21</v>
      </c>
      <c r="T5" s="15" t="s">
        <v>51</v>
      </c>
      <c r="U5" s="15" t="s">
        <v>52</v>
      </c>
      <c r="V5" s="40" t="s">
        <v>11</v>
      </c>
      <c r="W5" s="15" t="s">
        <v>19</v>
      </c>
    </row>
    <row r="6" spans="1:23" ht="15" customHeight="1" x14ac:dyDescent="0.35">
      <c r="A6" s="14" t="s">
        <v>20</v>
      </c>
      <c r="B6" s="4" t="s">
        <v>21</v>
      </c>
      <c r="D6" s="99" t="s">
        <v>22</v>
      </c>
      <c r="E6" s="111">
        <f>G6-F6</f>
        <v>1.8407988422575983</v>
      </c>
      <c r="F6" s="118">
        <f>lav*FixtureHot*faucet_pc*LavFeff</f>
        <v>4.5191611577424027</v>
      </c>
      <c r="G6" s="113">
        <f>lav*FixtureTot*faucet_pc*LavFeff</f>
        <v>6.3599600000000009</v>
      </c>
      <c r="H6" s="177" t="s">
        <v>23</v>
      </c>
      <c r="I6" s="4">
        <v>2</v>
      </c>
      <c r="J6" s="10" t="s">
        <v>24</v>
      </c>
      <c r="K6" s="70">
        <v>0.54</v>
      </c>
      <c r="M6" s="23" t="s">
        <v>25</v>
      </c>
      <c r="N6" s="24">
        <v>0.95</v>
      </c>
      <c r="Q6" s="15" t="s">
        <v>56</v>
      </c>
      <c r="R6" s="15" t="s">
        <v>57</v>
      </c>
      <c r="S6" s="56" t="s">
        <v>41</v>
      </c>
      <c r="T6" s="15" t="s">
        <v>58</v>
      </c>
      <c r="U6" s="15" t="s">
        <v>19</v>
      </c>
      <c r="V6" s="40" t="s">
        <v>59</v>
      </c>
      <c r="W6" s="15" t="s">
        <v>52</v>
      </c>
    </row>
    <row r="7" spans="1:23" ht="15" customHeight="1" x14ac:dyDescent="0.3">
      <c r="A7" s="14" t="s">
        <v>26</v>
      </c>
      <c r="B7" s="4">
        <v>2.5</v>
      </c>
      <c r="D7" s="99" t="s">
        <v>27</v>
      </c>
      <c r="E7" s="111">
        <f>G7-F7</f>
        <v>4.5492537684772731</v>
      </c>
      <c r="F7" s="112">
        <f>F_eff*(oWgpd+sWgpd*WDeff)*adjFmix</f>
        <v>11.168418001611705</v>
      </c>
      <c r="G7" s="113">
        <f>F_eff*(oWgpd+sWgpd*WDeff)</f>
        <v>15.717671770088979</v>
      </c>
      <c r="H7" s="177" t="s">
        <v>28</v>
      </c>
      <c r="I7" s="4">
        <v>0</v>
      </c>
      <c r="J7" s="71" t="s">
        <v>29</v>
      </c>
      <c r="K7" s="123">
        <f>Tavg+Tmains_offset</f>
        <v>55.9</v>
      </c>
      <c r="M7" s="8"/>
      <c r="N7" s="9"/>
      <c r="Q7" s="15" t="s">
        <v>62</v>
      </c>
      <c r="R7" s="15"/>
      <c r="T7" s="15"/>
      <c r="V7" s="5"/>
    </row>
    <row r="8" spans="1:23" ht="15" customHeight="1" x14ac:dyDescent="0.3">
      <c r="A8" s="14" t="s">
        <v>30</v>
      </c>
      <c r="B8" s="4">
        <v>2.2000000000000002</v>
      </c>
      <c r="D8" s="99" t="s">
        <v>31</v>
      </c>
      <c r="E8" s="111">
        <f>G8-F8</f>
        <v>20.629863439077191</v>
      </c>
      <c r="F8" s="112">
        <f>CWgpd</f>
        <v>3.8887507850298402</v>
      </c>
      <c r="G8" s="113">
        <f>CAPw*CWwf*ACY/365</f>
        <v>24.518614224107033</v>
      </c>
      <c r="H8" s="125" t="s">
        <v>37</v>
      </c>
      <c r="J8" s="71" t="s">
        <v>32</v>
      </c>
      <c r="K8" s="73">
        <f>IF($B$14="yes",Ifrac*(DWHRinT-Tmains)*DWHReff*PLC*LocF*FixF,0)</f>
        <v>0</v>
      </c>
      <c r="M8" s="17" t="s">
        <v>33</v>
      </c>
      <c r="Q8" s="15" t="s">
        <v>66</v>
      </c>
      <c r="R8" s="15"/>
      <c r="T8" s="15"/>
    </row>
    <row r="9" spans="1:23" ht="15" customHeight="1" x14ac:dyDescent="0.3">
      <c r="A9" s="14" t="s">
        <v>35</v>
      </c>
      <c r="B9" s="4" t="s">
        <v>15</v>
      </c>
      <c r="D9" s="99" t="s">
        <v>36</v>
      </c>
      <c r="E9" s="111"/>
      <c r="F9" s="112">
        <f>DWgpd</f>
        <v>1.1716654256360075</v>
      </c>
      <c r="G9" s="113">
        <f>DWgpd</f>
        <v>1.1716654256360075</v>
      </c>
      <c r="H9" s="177" t="s">
        <v>50</v>
      </c>
      <c r="I9" s="4" t="s">
        <v>92</v>
      </c>
      <c r="J9" s="71" t="s">
        <v>38</v>
      </c>
      <c r="K9" s="72">
        <f>IF($B$14="no",Tmains,Tmains+WHinTadj)</f>
        <v>55.9</v>
      </c>
      <c r="M9" s="66" t="s">
        <v>39</v>
      </c>
      <c r="N9" s="67" t="s">
        <v>40</v>
      </c>
      <c r="O9" s="67" t="s">
        <v>41</v>
      </c>
      <c r="Q9" s="15" t="s">
        <v>70</v>
      </c>
      <c r="R9" s="15"/>
      <c r="T9" s="15"/>
      <c r="U9" s="10"/>
      <c r="V9" s="15"/>
    </row>
    <row r="10" spans="1:23" ht="15" customHeight="1" x14ac:dyDescent="0.3">
      <c r="A10" s="100" t="s">
        <v>48</v>
      </c>
      <c r="B10" s="68">
        <f>refPipeL*100%</f>
        <v>89.282032302755098</v>
      </c>
      <c r="D10" s="134" t="s">
        <v>49</v>
      </c>
      <c r="E10" s="111">
        <f>G10-F10</f>
        <v>21.896799999999999</v>
      </c>
      <c r="F10" s="112"/>
      <c r="G10" s="113">
        <f>refFPO*gpf*Occ</f>
        <v>21.896799999999999</v>
      </c>
      <c r="H10" s="179" t="s">
        <v>55</v>
      </c>
      <c r="I10" s="4" t="s">
        <v>15</v>
      </c>
      <c r="M10" s="58" t="s">
        <v>15</v>
      </c>
      <c r="N10" s="65">
        <v>1</v>
      </c>
      <c r="O10" s="65">
        <v>0.9</v>
      </c>
      <c r="R10" s="15"/>
      <c r="U10" s="10"/>
      <c r="V10" s="15"/>
    </row>
    <row r="11" spans="1:23" ht="15" customHeight="1" x14ac:dyDescent="0.3">
      <c r="A11" s="14" t="s">
        <v>53</v>
      </c>
      <c r="B11" s="68">
        <f>refLoopL*100%</f>
        <v>158.5640646055102</v>
      </c>
      <c r="C11" s="91"/>
      <c r="D11" s="134" t="s">
        <v>54</v>
      </c>
      <c r="E11" s="111">
        <f>Soft_gpd</f>
        <v>0</v>
      </c>
      <c r="F11" s="112"/>
      <c r="G11" s="113">
        <f>Soft_gpd</f>
        <v>0</v>
      </c>
      <c r="H11" s="177" t="s">
        <v>61</v>
      </c>
      <c r="I11" s="206">
        <f>VLOOKUP($I$10,$Q$12:$W$15,7,0)</f>
        <v>9.5</v>
      </c>
      <c r="K11" s="10"/>
      <c r="L11" s="10"/>
      <c r="M11" s="20" t="s">
        <v>56</v>
      </c>
      <c r="N11" s="65">
        <v>1.1100000000000001</v>
      </c>
      <c r="O11" s="65">
        <v>1</v>
      </c>
      <c r="Q11" s="48" t="s">
        <v>77</v>
      </c>
      <c r="R11" s="80" t="s">
        <v>78</v>
      </c>
      <c r="S11" s="80" t="s">
        <v>79</v>
      </c>
      <c r="T11" s="80" t="s">
        <v>80</v>
      </c>
      <c r="U11" s="80" t="s">
        <v>81</v>
      </c>
      <c r="V11" s="81" t="s">
        <v>82</v>
      </c>
      <c r="W11" s="114" t="s">
        <v>61</v>
      </c>
    </row>
    <row r="12" spans="1:23" ht="15" customHeight="1" x14ac:dyDescent="0.3">
      <c r="A12" s="14" t="s">
        <v>60</v>
      </c>
      <c r="B12" s="4">
        <f>10*100%</f>
        <v>10</v>
      </c>
      <c r="D12" s="99" t="s">
        <v>238</v>
      </c>
      <c r="E12" s="111">
        <f>G12-F12</f>
        <v>15.700000000000001</v>
      </c>
      <c r="F12" s="112">
        <f>HotOther_br*Nbr</f>
        <v>2.1</v>
      </c>
      <c r="G12" s="113">
        <f>TotOther_br*Nbr</f>
        <v>17.8</v>
      </c>
      <c r="H12" s="125" t="s">
        <v>65</v>
      </c>
      <c r="L12" s="6"/>
      <c r="M12" s="20" t="s">
        <v>62</v>
      </c>
      <c r="N12" s="65">
        <v>1.1100000000000001</v>
      </c>
      <c r="O12" s="65">
        <v>1</v>
      </c>
      <c r="P12" s="61"/>
      <c r="Q12" s="15" t="s">
        <v>15</v>
      </c>
      <c r="R12" s="175">
        <v>2.8740000000000001</v>
      </c>
      <c r="S12" s="175">
        <v>704</v>
      </c>
      <c r="T12" s="175">
        <v>8.0299999999999996E-2</v>
      </c>
      <c r="U12" s="175">
        <v>0.57999999999999996</v>
      </c>
      <c r="V12" s="175">
        <v>23</v>
      </c>
      <c r="W12" s="115">
        <v>9.5</v>
      </c>
    </row>
    <row r="13" spans="1:23" ht="15" customHeight="1" thickBot="1" x14ac:dyDescent="0.35">
      <c r="A13" s="14" t="s">
        <v>63</v>
      </c>
      <c r="B13" s="4">
        <f>50*100%</f>
        <v>50</v>
      </c>
      <c r="C13" s="54"/>
      <c r="D13" s="99" t="s">
        <v>244</v>
      </c>
      <c r="E13" s="111">
        <f>IF(Static_Pressure&gt;90,(E4+0.5*(E5+E6+E12))*(0.006*(Static_Pressure-90)),0)</f>
        <v>0</v>
      </c>
      <c r="F13" s="112">
        <f>IF(Static_Pressure&gt;90,(F4+0.5*(F5+F6+F12))*(0.006*(Static_Pressure-90)),0)</f>
        <v>0</v>
      </c>
      <c r="G13" s="113">
        <f>IF(Static_Pressure&gt;90,(G4+0.5*(G5+G6+G12))*(0.006*(Static_Pressure-90)),0)</f>
        <v>0</v>
      </c>
      <c r="H13" s="177" t="s">
        <v>69</v>
      </c>
      <c r="I13" s="126">
        <v>1.6</v>
      </c>
      <c r="L13" s="6"/>
      <c r="M13" s="20" t="s">
        <v>66</v>
      </c>
      <c r="N13" s="65">
        <v>1.1100000000000001</v>
      </c>
      <c r="O13" s="65">
        <v>1</v>
      </c>
      <c r="Q13" s="79" t="s">
        <v>89</v>
      </c>
      <c r="R13" s="175">
        <v>3.2</v>
      </c>
      <c r="S13" s="175">
        <v>487</v>
      </c>
      <c r="T13" s="175">
        <v>8.0299999999999996E-2</v>
      </c>
      <c r="U13" s="175">
        <v>0.68799999999999994</v>
      </c>
      <c r="V13" s="175">
        <v>23</v>
      </c>
      <c r="W13" s="115">
        <v>8</v>
      </c>
    </row>
    <row r="14" spans="1:23" ht="15" customHeight="1" x14ac:dyDescent="0.3">
      <c r="A14" s="14" t="s">
        <v>67</v>
      </c>
      <c r="B14" s="4" t="s">
        <v>52</v>
      </c>
      <c r="C14" s="54"/>
      <c r="D14" s="207" t="s">
        <v>64</v>
      </c>
      <c r="E14" s="208">
        <f>G14-F14</f>
        <v>75.684744993372107</v>
      </c>
      <c r="F14" s="209">
        <f>SUM(F4:F13)</f>
        <v>50.020006426459901</v>
      </c>
      <c r="G14" s="210">
        <f>SUM(G4:G13)</f>
        <v>125.70475141983201</v>
      </c>
      <c r="H14" s="125" t="s">
        <v>72</v>
      </c>
      <c r="L14" s="6"/>
      <c r="M14" s="20" t="s">
        <v>70</v>
      </c>
      <c r="N14" s="65">
        <v>1.1100000000000001</v>
      </c>
      <c r="O14" s="65">
        <v>1</v>
      </c>
      <c r="Q14" s="15" t="s">
        <v>91</v>
      </c>
      <c r="R14" s="175">
        <v>3.5</v>
      </c>
      <c r="S14" s="175">
        <v>281</v>
      </c>
      <c r="T14" s="175">
        <v>8.5999999999999993E-2</v>
      </c>
      <c r="U14" s="175">
        <v>0.91</v>
      </c>
      <c r="V14" s="175">
        <v>14</v>
      </c>
      <c r="W14" s="115">
        <v>6</v>
      </c>
    </row>
    <row r="15" spans="1:23" ht="15" customHeight="1" x14ac:dyDescent="0.3">
      <c r="A15" s="13"/>
      <c r="D15" s="211" t="s">
        <v>68</v>
      </c>
      <c r="E15" s="212">
        <f>Out_gpd</f>
        <v>67.78773052609327</v>
      </c>
      <c r="F15" s="213">
        <v>0</v>
      </c>
      <c r="G15" s="214">
        <f>Out_gpd</f>
        <v>67.78773052609327</v>
      </c>
      <c r="H15" s="177" t="s">
        <v>75</v>
      </c>
      <c r="I15" s="4" t="s">
        <v>52</v>
      </c>
      <c r="J15" s="170"/>
      <c r="Q15" s="15" t="s">
        <v>92</v>
      </c>
      <c r="R15" s="175">
        <v>3.31</v>
      </c>
      <c r="S15" s="175">
        <v>151</v>
      </c>
      <c r="T15" s="175">
        <v>0.1065</v>
      </c>
      <c r="U15" s="175">
        <v>1.218</v>
      </c>
      <c r="V15" s="175">
        <v>12</v>
      </c>
      <c r="W15" s="115">
        <v>4</v>
      </c>
    </row>
    <row r="16" spans="1:23" ht="15" customHeight="1" thickBot="1" x14ac:dyDescent="0.35">
      <c r="A16" s="125" t="s">
        <v>73</v>
      </c>
      <c r="B16" s="151">
        <v>5000</v>
      </c>
      <c r="D16" s="215" t="s">
        <v>71</v>
      </c>
      <c r="E16" s="216">
        <f>SUM(E14:E15)</f>
        <v>143.47247551946538</v>
      </c>
      <c r="F16" s="217">
        <f>SUM(F14:F15)</f>
        <v>50.020006426459901</v>
      </c>
      <c r="G16" s="218">
        <f>SUM(G14:G15)</f>
        <v>193.49248194592528</v>
      </c>
      <c r="H16" s="177" t="s">
        <v>237</v>
      </c>
      <c r="I16" s="206">
        <f>B40</f>
        <v>5</v>
      </c>
      <c r="J16" s="149" t="s">
        <v>130</v>
      </c>
      <c r="K16" s="74"/>
      <c r="L16" s="171"/>
      <c r="M16" s="17" t="s">
        <v>76</v>
      </c>
      <c r="N16" s="17"/>
      <c r="O16" s="60"/>
      <c r="P16" s="62"/>
      <c r="Q16" s="15"/>
    </row>
    <row r="17" spans="1:25" ht="15" customHeight="1" x14ac:dyDescent="0.3">
      <c r="A17" s="148" t="s">
        <v>230</v>
      </c>
      <c r="B17" s="151">
        <f>Ref_Irr_Area</f>
        <v>2348.0230868097533</v>
      </c>
      <c r="D17" s="130" t="s">
        <v>74</v>
      </c>
      <c r="E17" s="127">
        <f>G17-F17</f>
        <v>75.685157395974159</v>
      </c>
      <c r="F17" s="128">
        <f>(refDWgpd+refCWgpd+Fmix*(refFgpd+refWgpd)+HotOther_br*Nbr)</f>
        <v>53.165131743977831</v>
      </c>
      <c r="G17" s="129">
        <f>(refDWgpd+refSofgpd+(2.874*W12*(177.12+50.22*Nbr)/365)+refFgpd+refWgpd+refGPF*refFPO*Occ+TotOther_br*Nbr)</f>
        <v>128.850289139952</v>
      </c>
      <c r="H17" s="125" t="s">
        <v>84</v>
      </c>
      <c r="J17" s="10"/>
      <c r="L17" s="117"/>
      <c r="M17" s="18" t="s">
        <v>85</v>
      </c>
      <c r="N17" s="19" t="s">
        <v>21</v>
      </c>
      <c r="O17" s="60"/>
      <c r="P17" s="62"/>
      <c r="Q17" s="48" t="s">
        <v>96</v>
      </c>
      <c r="R17" s="80" t="s">
        <v>97</v>
      </c>
      <c r="S17" s="80" t="s">
        <v>98</v>
      </c>
    </row>
    <row r="18" spans="1:25" ht="15" customHeight="1" x14ac:dyDescent="0.3">
      <c r="A18" s="146" t="s">
        <v>86</v>
      </c>
      <c r="B18" s="147">
        <f>G15/G16</f>
        <v>0.35033780043731977</v>
      </c>
      <c r="C18" s="124"/>
      <c r="D18" s="132" t="s">
        <v>83</v>
      </c>
      <c r="E18" s="137">
        <f>IF(OutRef_gpd&gt;$F$37, OutRef_gpd,$F$37)</f>
        <v>67.78773052609327</v>
      </c>
      <c r="F18" s="133">
        <v>0</v>
      </c>
      <c r="G18" s="138">
        <f>IF(OutRef_gpd&gt;$F$37, OutRef_gpd,$F$37)</f>
        <v>67.78773052609327</v>
      </c>
      <c r="H18" s="177" t="s">
        <v>225</v>
      </c>
      <c r="I18" s="4" t="s">
        <v>52</v>
      </c>
      <c r="L18" s="117"/>
      <c r="M18" s="20" t="s">
        <v>88</v>
      </c>
      <c r="N18" s="21">
        <v>1</v>
      </c>
      <c r="O18" s="27"/>
      <c r="P18" s="62"/>
      <c r="Q18" s="15" t="s">
        <v>15</v>
      </c>
      <c r="R18" s="3">
        <v>12</v>
      </c>
      <c r="S18" s="3">
        <v>0.46</v>
      </c>
    </row>
    <row r="19" spans="1:25" ht="15" customHeight="1" thickBot="1" x14ac:dyDescent="0.35">
      <c r="A19" s="71" t="s">
        <v>107</v>
      </c>
      <c r="B19" s="150">
        <f>Ref_Irr_Area</f>
        <v>2348.0230868097533</v>
      </c>
      <c r="D19" s="139" t="s">
        <v>87</v>
      </c>
      <c r="E19" s="172">
        <f>SUM(E17:E18)</f>
        <v>143.47288792206743</v>
      </c>
      <c r="F19" s="173">
        <f>SUM(F17:F18)</f>
        <v>53.165131743977831</v>
      </c>
      <c r="G19" s="140">
        <f>SUM(G17:G18)</f>
        <v>196.63801966604527</v>
      </c>
      <c r="H19" s="177" t="s">
        <v>224</v>
      </c>
      <c r="I19" s="4" t="s">
        <v>52</v>
      </c>
      <c r="J19" s="33"/>
      <c r="L19" s="117"/>
      <c r="M19" s="20" t="s">
        <v>56</v>
      </c>
      <c r="N19" s="93">
        <v>0.1</v>
      </c>
      <c r="O19" s="27"/>
      <c r="P19" s="41"/>
      <c r="Q19" s="15" t="s">
        <v>91</v>
      </c>
      <c r="R19" s="3">
        <v>12</v>
      </c>
      <c r="S19" s="3">
        <v>0.73</v>
      </c>
    </row>
    <row r="20" spans="1:25" ht="15" customHeight="1" thickBot="1" x14ac:dyDescent="0.35">
      <c r="A20" s="71" t="s">
        <v>265</v>
      </c>
      <c r="B20" s="161">
        <f>Ref_Irr_Area/Lot_Area</f>
        <v>0.46960461736195064</v>
      </c>
      <c r="D20" s="141" t="s">
        <v>90</v>
      </c>
      <c r="E20" s="142">
        <f>E19-E16</f>
        <v>4.1240260205199775E-4</v>
      </c>
      <c r="F20" s="143">
        <f>F19-F16</f>
        <v>3.1451253175179303</v>
      </c>
      <c r="G20" s="144">
        <f>G19-G16</f>
        <v>3.1455377201199894</v>
      </c>
      <c r="H20" s="177" t="s">
        <v>226</v>
      </c>
      <c r="I20" s="4" t="s">
        <v>52</v>
      </c>
      <c r="J20" s="33"/>
      <c r="L20" s="122"/>
      <c r="M20" s="20" t="s">
        <v>62</v>
      </c>
      <c r="N20" s="21">
        <f>N19</f>
        <v>0.1</v>
      </c>
      <c r="O20" s="28"/>
      <c r="P20" s="41"/>
      <c r="Q20" s="15" t="s">
        <v>92</v>
      </c>
      <c r="R20" s="3">
        <v>12</v>
      </c>
      <c r="S20" s="3">
        <v>1.1200000000000001</v>
      </c>
    </row>
    <row r="21" spans="1:25" ht="15" customHeight="1" x14ac:dyDescent="0.3">
      <c r="A21" s="71" t="s">
        <v>93</v>
      </c>
      <c r="B21" s="161">
        <f>Landscape_Area/(Lot_Area-(CFA/Nfl))</f>
        <v>0.61790081231835614</v>
      </c>
      <c r="D21" s="131" t="s">
        <v>252</v>
      </c>
      <c r="E21" s="152">
        <f>ColdW_gpd/E17*100</f>
        <v>99.999455107690537</v>
      </c>
      <c r="F21" s="153">
        <f>F14/F17*100</f>
        <v>94.084233003195394</v>
      </c>
      <c r="G21" s="154">
        <f>G14/G17*100</f>
        <v>97.558765493569481</v>
      </c>
      <c r="H21" s="177" t="s">
        <v>221</v>
      </c>
      <c r="I21" s="4" t="s">
        <v>52</v>
      </c>
      <c r="K21" s="121"/>
      <c r="L21" s="122"/>
      <c r="M21" s="20" t="s">
        <v>66</v>
      </c>
      <c r="N21" s="21">
        <f>N19</f>
        <v>0.1</v>
      </c>
      <c r="O21" s="28"/>
      <c r="P21" s="41"/>
    </row>
    <row r="22" spans="1:25" ht="15" customHeight="1" x14ac:dyDescent="0.3">
      <c r="A22" s="71" t="s">
        <v>95</v>
      </c>
      <c r="B22" s="166">
        <f>Lot_Area/43560</f>
        <v>0.1147842056932966</v>
      </c>
      <c r="D22" s="135" t="s">
        <v>253</v>
      </c>
      <c r="E22" s="155">
        <f>E15/E18*100</f>
        <v>100</v>
      </c>
      <c r="F22" s="156">
        <f>100</f>
        <v>100</v>
      </c>
      <c r="G22" s="157">
        <f>G15/G18*100</f>
        <v>100</v>
      </c>
      <c r="H22" s="10" t="s">
        <v>236</v>
      </c>
      <c r="I22" s="126">
        <v>25.15</v>
      </c>
      <c r="J22" s="199" t="s">
        <v>94</v>
      </c>
      <c r="M22" s="20" t="s">
        <v>70</v>
      </c>
      <c r="N22" s="21">
        <f>N19</f>
        <v>0.1</v>
      </c>
      <c r="O22" s="41"/>
      <c r="P22" s="41"/>
      <c r="Y22" s="167"/>
    </row>
    <row r="23" spans="1:25" ht="15" customHeight="1" thickBot="1" x14ac:dyDescent="0.35">
      <c r="D23" s="136" t="s">
        <v>254</v>
      </c>
      <c r="E23" s="158">
        <f>E16/E19*100</f>
        <v>99.99971255711931</v>
      </c>
      <c r="F23" s="159">
        <f>F16/F19*100</f>
        <v>94.084233003195394</v>
      </c>
      <c r="G23" s="160">
        <f>G16/G19*100</f>
        <v>98.400341029948265</v>
      </c>
      <c r="H23" s="177" t="s">
        <v>243</v>
      </c>
      <c r="I23" s="4" t="s">
        <v>52</v>
      </c>
      <c r="O23" s="41"/>
      <c r="Y23" s="12"/>
    </row>
    <row r="24" spans="1:25" ht="15" customHeight="1" thickBot="1" x14ac:dyDescent="0.4">
      <c r="D24" s="233" t="s">
        <v>263</v>
      </c>
      <c r="E24" s="236">
        <f>G23</f>
        <v>98.400341029948265</v>
      </c>
      <c r="F24" s="237" t="s">
        <v>267</v>
      </c>
      <c r="G24" s="234">
        <f>G20*365</f>
        <v>1148.1212678437962</v>
      </c>
      <c r="H24" s="177" t="s">
        <v>241</v>
      </c>
      <c r="I24" s="4">
        <v>90</v>
      </c>
      <c r="J24" s="33"/>
      <c r="O24" s="41"/>
    </row>
    <row r="25" spans="1:25" ht="15" customHeight="1" thickBot="1" x14ac:dyDescent="0.35">
      <c r="A25" s="71" t="s">
        <v>99</v>
      </c>
      <c r="B25" s="145">
        <f xml:space="preserve"> 2*(CFA/Nfl)^0.5+10*Nfl+5*Bsmt</f>
        <v>89.282032302755098</v>
      </c>
      <c r="D25" s="3" t="s">
        <v>264</v>
      </c>
      <c r="F25" s="235" t="s">
        <v>268</v>
      </c>
      <c r="G25" s="239">
        <f>IF(G24*I25&lt;I25,0,G24/748.05*I25)</f>
        <v>5.9857936562941054</v>
      </c>
      <c r="H25" s="177" t="s">
        <v>266</v>
      </c>
      <c r="I25" s="238">
        <v>3.9</v>
      </c>
      <c r="J25" s="33" t="s">
        <v>270</v>
      </c>
      <c r="O25" s="41"/>
    </row>
    <row r="26" spans="1:25" ht="15.75" customHeight="1" x14ac:dyDescent="0.3">
      <c r="A26" s="71" t="s">
        <v>100</v>
      </c>
      <c r="B26" s="145">
        <f>2*refPipeL-20</f>
        <v>158.5640646055102</v>
      </c>
      <c r="D26" s="3" t="s">
        <v>269</v>
      </c>
      <c r="H26" s="177"/>
      <c r="J26" s="162"/>
    </row>
    <row r="27" spans="1:25" ht="15.75" customHeight="1" x14ac:dyDescent="0.3">
      <c r="H27" s="180"/>
      <c r="I27" s="33"/>
      <c r="J27" s="162"/>
      <c r="M27" s="78" t="s">
        <v>101</v>
      </c>
      <c r="N27" s="2"/>
      <c r="Q27" s="219" t="s">
        <v>205</v>
      </c>
      <c r="R27" s="220" t="s">
        <v>206</v>
      </c>
      <c r="S27" s="220" t="s">
        <v>207</v>
      </c>
      <c r="T27" s="221" t="s">
        <v>208</v>
      </c>
      <c r="U27" s="222" t="s">
        <v>250</v>
      </c>
      <c r="V27" s="222" t="s">
        <v>209</v>
      </c>
    </row>
    <row r="28" spans="1:25" ht="15.75" customHeight="1" thickBot="1" x14ac:dyDescent="0.35">
      <c r="A28" s="5"/>
      <c r="C28" s="10"/>
      <c r="H28" s="180"/>
      <c r="I28" s="162"/>
      <c r="M28" s="20" t="s">
        <v>102</v>
      </c>
      <c r="N28" s="42" t="s">
        <v>103</v>
      </c>
      <c r="Q28" s="1" t="s">
        <v>248</v>
      </c>
      <c r="R28" s="202">
        <v>68.900000000000006</v>
      </c>
      <c r="S28" s="203">
        <v>78701</v>
      </c>
      <c r="T28" s="204">
        <v>37.706521000000002</v>
      </c>
      <c r="U28" s="12" t="s">
        <v>212</v>
      </c>
      <c r="V28" s="12">
        <v>121</v>
      </c>
    </row>
    <row r="29" spans="1:25" x14ac:dyDescent="0.3">
      <c r="A29" s="10" t="s">
        <v>104</v>
      </c>
      <c r="B29" s="33">
        <f>IF(Landscape_Area&lt;Ref_Irr_Area,F32/H38,F$32)</f>
        <v>67.78773052609327</v>
      </c>
      <c r="C29" s="5" t="s">
        <v>105</v>
      </c>
      <c r="E29" s="253" t="s">
        <v>120</v>
      </c>
      <c r="F29" s="254"/>
      <c r="G29" s="255" t="s">
        <v>121</v>
      </c>
      <c r="H29" s="256"/>
      <c r="I29" s="176"/>
      <c r="M29" s="45" t="s">
        <v>106</v>
      </c>
      <c r="N29" s="46">
        <v>1</v>
      </c>
      <c r="Q29" s="5" t="s">
        <v>256</v>
      </c>
      <c r="R29" s="15">
        <v>49.5</v>
      </c>
      <c r="S29" s="203">
        <v>80104</v>
      </c>
      <c r="T29" s="201">
        <v>38.558681999999997</v>
      </c>
      <c r="U29" s="15" t="s">
        <v>210</v>
      </c>
      <c r="V29" s="15">
        <v>181</v>
      </c>
    </row>
    <row r="30" spans="1:25" x14ac:dyDescent="0.3">
      <c r="A30" s="10" t="s">
        <v>107</v>
      </c>
      <c r="B30" s="104">
        <f>IF(Lot_Area&lt;7000,Lot_Area*(0.002479*Lot_Area^0.6157),Lot_Area*0.577)</f>
        <v>2348.0230868097533</v>
      </c>
      <c r="E30" s="189" t="s">
        <v>122</v>
      </c>
      <c r="F30" s="186">
        <f>EXP(1.4416+0.5069*(Ref_Irr_Area/10^3))</f>
        <v>13.898944509760442</v>
      </c>
      <c r="G30" s="186" t="s">
        <v>123</v>
      </c>
      <c r="H30" s="190">
        <f>EXP(1.4416+0.5069*(Landscape_Area/10^3))</f>
        <v>13.898944509760442</v>
      </c>
      <c r="I30" s="181"/>
      <c r="M30" s="45" t="s">
        <v>108</v>
      </c>
      <c r="N30" s="46">
        <v>0.77700000000000002</v>
      </c>
      <c r="Q30" s="1" t="s">
        <v>211</v>
      </c>
      <c r="R30" s="202">
        <v>65.7</v>
      </c>
      <c r="S30" s="203">
        <v>75201</v>
      </c>
      <c r="T30" s="204">
        <v>32.981880999999994</v>
      </c>
      <c r="U30" s="12" t="s">
        <v>212</v>
      </c>
      <c r="V30" s="12">
        <v>121</v>
      </c>
    </row>
    <row r="31" spans="1:25" x14ac:dyDescent="0.3">
      <c r="A31" s="227" t="s">
        <v>109</v>
      </c>
      <c r="B31" s="224">
        <f>VLOOKUP(B4,Q28:V41,4,FALSE)</f>
        <v>38.558681999999997</v>
      </c>
      <c r="C31" s="227" t="s">
        <v>110</v>
      </c>
      <c r="D31" s="225">
        <f>VLOOKUP(B4,Q28:V41,3,FALSE)</f>
        <v>80104</v>
      </c>
      <c r="E31" s="189" t="s">
        <v>124</v>
      </c>
      <c r="F31" s="186">
        <f>EXP(0.6911+0.00301*NetET*(Ref_Irr_Area/10^3))</f>
        <v>2.6211558729176412</v>
      </c>
      <c r="G31" s="186" t="s">
        <v>125</v>
      </c>
      <c r="H31" s="190">
        <f>EXP(0.6911+0.00301*NetET*(Landscape_Area/10^3))</f>
        <v>2.6211558729176412</v>
      </c>
      <c r="I31" s="176"/>
      <c r="M31" s="45" t="s">
        <v>111</v>
      </c>
      <c r="N31" s="46">
        <v>0.77700000000000002</v>
      </c>
      <c r="Q31" s="1" t="s">
        <v>213</v>
      </c>
      <c r="R31" s="205">
        <v>51.6</v>
      </c>
      <c r="S31" s="12">
        <v>80011</v>
      </c>
      <c r="T31" s="204">
        <v>42.215458000000005</v>
      </c>
      <c r="U31" s="12" t="s">
        <v>210</v>
      </c>
      <c r="V31" s="12">
        <v>181</v>
      </c>
    </row>
    <row r="32" spans="1:25" x14ac:dyDescent="0.3">
      <c r="A32" s="10" t="s">
        <v>112</v>
      </c>
      <c r="B32" s="3">
        <f>IF(I19="no",0,1)</f>
        <v>0</v>
      </c>
      <c r="E32" s="189" t="s">
        <v>104</v>
      </c>
      <c r="F32" s="186">
        <f>IF(NetET&lt;=12,((expAref/(1+expAref))*1.18086*(2.0341*NetET^(0.7154)*(Ref_Irr_Area/10^3)^(0.6227)+0.5756*pool_ind*NetET)*1+(expBref/(1+expBref))*1.22257*(1.4233+0.6311*NetET+0.9376*(Ref_Irr_Area/10^3))*(1-1))*10^3/365,
((expAref/(1+expAref))*1.18086*(2.0341*NetET^(0.7154)*(Ref_Irr_Area/10^3)^(0.6227)+0.5756*pool_ind*NetET)*sprink_ind+(expBref/(1+expBref))*1.22257*(1.4233+0.6311*NetET+0.9376*(Ref_Irr_Area/10^3))*(1-sprink_ind))*10^3/365)</f>
        <v>67.78773052609327</v>
      </c>
      <c r="G32" s="186" t="s">
        <v>119</v>
      </c>
      <c r="H32" s="190">
        <f>((expA/(1+expA))*1.18086*(2.0341*NetET^(0.7154)*(Landscape_Area/10^3)^(0.6227)+0.5756*pool_ind*NetET)*sprink_ind+(expB/(1+expB))*1.22257*(1.4233+0.6311*NetET+0.9376*(Landscape_Area/10^3))*(1-sprink_ind))*10^3/365</f>
        <v>67.78773052609327</v>
      </c>
      <c r="I32" s="176"/>
      <c r="Q32" s="1" t="s">
        <v>215</v>
      </c>
      <c r="R32" s="205">
        <v>68.599999999999994</v>
      </c>
      <c r="S32" s="12">
        <v>77005</v>
      </c>
      <c r="T32" s="204">
        <v>17.760324000000001</v>
      </c>
      <c r="U32" s="12" t="s">
        <v>214</v>
      </c>
      <c r="V32" s="12">
        <v>61</v>
      </c>
    </row>
    <row r="33" spans="1:22" x14ac:dyDescent="0.3">
      <c r="A33" s="10" t="s">
        <v>113</v>
      </c>
      <c r="B33" s="3">
        <f>IF(I18="no",0,1)</f>
        <v>0</v>
      </c>
      <c r="E33" s="191"/>
      <c r="F33" s="188">
        <f>((expAref/(1+expAref))*1.18086*(2.0341*NetET^(0.7154)*(Ref_Irr_Area/10^3)^(0.6227)+0.5756*1*NetET)*1+(expBref/(1+expBref))*1.22257*(1.4233+0.6311*NetET+0.9376*(Ref_Irr_Area/10^3))*(1-1))*10^3/365</f>
        <v>209.43125993078135</v>
      </c>
      <c r="G33" s="187"/>
      <c r="H33" s="192">
        <f>((expA/(1+expA))*1.18086*(2.0341*NetET^(0.7154)*(Landscape_Area/10^3)^(0.6227)+0.5756*1*NetET)*1+(expB/(1+expB))*1.22257*(1.4233+0.6311*NetET+0.9376*(Landscape_Area/10^3))*(1-1))*10^3/365</f>
        <v>209.43125993078135</v>
      </c>
      <c r="I33" s="169" t="s">
        <v>128</v>
      </c>
      <c r="M33" s="11" t="s">
        <v>114</v>
      </c>
      <c r="Q33" s="5" t="s">
        <v>258</v>
      </c>
      <c r="R33" s="231">
        <v>63</v>
      </c>
      <c r="S33" s="203">
        <v>92614</v>
      </c>
      <c r="T33" s="201">
        <v>44.107962999999998</v>
      </c>
      <c r="U33" s="15" t="s">
        <v>210</v>
      </c>
      <c r="V33" s="15">
        <v>181</v>
      </c>
    </row>
    <row r="34" spans="1:22" x14ac:dyDescent="0.3">
      <c r="A34" s="10" t="s">
        <v>115</v>
      </c>
      <c r="B34" s="6">
        <f>IF(I21="yes",IF(Landscape_Area&gt;0,((I22/Landscape_Area)*1000),5),Rici_Ref)</f>
        <v>5</v>
      </c>
      <c r="E34" s="193"/>
      <c r="F34" s="186">
        <f>((expAref/(1+expAref))*1.18086*(2.0341*NetET^(0.7154)*(Ref_Irr_Area/10^3)^(0.6227)+0.5756*0*NetET)*1+(expBref/(1+expBref))*1.22257*(1.4233+0.6311*NetET+0.9376*(Ref_Irr_Area/10^3))*(1-1))*10^3/365</f>
        <v>142.44668103226789</v>
      </c>
      <c r="G34" s="58"/>
      <c r="H34" s="190">
        <f>((expA/(1+expA))*1.18086*(2.0341*NetET^(0.7154)*(Landscape_Area/10^3)^(0.6227)+0.5756*0*NetET)*1+(expB/(1+expB))*1.22257*(1.4233+0.6311*NetET+0.9376*(Landscape_Area/10^3))*(1-1))*10^3/365</f>
        <v>142.44668103226789</v>
      </c>
      <c r="I34" s="184" t="s">
        <v>129</v>
      </c>
      <c r="M34" s="16" t="s">
        <v>116</v>
      </c>
      <c r="N34" s="19" t="s">
        <v>117</v>
      </c>
      <c r="O34" s="10"/>
      <c r="P34" s="10"/>
      <c r="Q34" s="1" t="s">
        <v>7</v>
      </c>
      <c r="R34" s="205">
        <v>67.703842465753425</v>
      </c>
      <c r="S34" s="12">
        <v>89106</v>
      </c>
      <c r="T34" s="204">
        <v>94.82387599999997</v>
      </c>
      <c r="U34" s="12" t="s">
        <v>210</v>
      </c>
      <c r="V34" s="12">
        <v>181</v>
      </c>
    </row>
    <row r="35" spans="1:22" x14ac:dyDescent="0.3">
      <c r="A35" s="10" t="s">
        <v>118</v>
      </c>
      <c r="B35" s="6">
        <v>5</v>
      </c>
      <c r="E35" s="193"/>
      <c r="F35" s="186">
        <f>F33-F34</f>
        <v>66.984578898513462</v>
      </c>
      <c r="G35" s="58"/>
      <c r="H35" s="190">
        <f>H33-H34</f>
        <v>66.984578898513462</v>
      </c>
      <c r="I35" s="185" t="s">
        <v>131</v>
      </c>
      <c r="M35" s="23" t="s">
        <v>56</v>
      </c>
      <c r="N35" s="42">
        <v>8.76</v>
      </c>
      <c r="Q35" s="1" t="s">
        <v>245</v>
      </c>
      <c r="R35" s="205">
        <v>71.400000000000006</v>
      </c>
      <c r="S35" s="12">
        <v>34746</v>
      </c>
      <c r="T35" s="204">
        <v>17.694878000000003</v>
      </c>
      <c r="U35" s="12" t="s">
        <v>218</v>
      </c>
      <c r="V35" s="12">
        <v>0</v>
      </c>
    </row>
    <row r="36" spans="1:22" x14ac:dyDescent="0.3">
      <c r="A36" s="10" t="s">
        <v>119</v>
      </c>
      <c r="B36" s="33">
        <f>SUM(H43:H44)</f>
        <v>67.78773052609327</v>
      </c>
      <c r="E36" s="193"/>
      <c r="F36" s="186">
        <f>F32+F35</f>
        <v>134.77230942460673</v>
      </c>
      <c r="G36" s="58"/>
      <c r="H36" s="190">
        <f>H32+H35</f>
        <v>134.77230942460673</v>
      </c>
      <c r="I36" s="184" t="s">
        <v>134</v>
      </c>
      <c r="M36" s="23" t="s">
        <v>62</v>
      </c>
      <c r="N36" s="42">
        <v>1.46</v>
      </c>
      <c r="Q36" s="1" t="s">
        <v>216</v>
      </c>
      <c r="R36" s="205">
        <v>74.8</v>
      </c>
      <c r="S36" s="12">
        <v>85008</v>
      </c>
      <c r="T36" s="204">
        <v>89.696154999999976</v>
      </c>
      <c r="U36" s="12" t="s">
        <v>212</v>
      </c>
      <c r="V36" s="12">
        <v>121</v>
      </c>
    </row>
    <row r="37" spans="1:22" x14ac:dyDescent="0.3">
      <c r="A37" s="10"/>
      <c r="B37" s="33"/>
      <c r="E37" s="193"/>
      <c r="F37" s="186">
        <f>((expAref/(1+expAref))*1.18086*(2.0341*NetET^(0.7154)*(Ref_Irr_Area/10^3)^(0.6227)+0.5756*0*NetET)*0+(expBref/(1+expBref))*1.22257*(1.4233+0.6311*NetET+0.9376*(Ref_Irr_Area/10^3))*(1-0))*10^3/365</f>
        <v>67.78773052609327</v>
      </c>
      <c r="G37" s="58"/>
      <c r="H37" s="190">
        <f>((expA/(1+expA))*1.18086*(2.0341*NetET^(0.7154)*(Landscape_Area/10^3)^(0.6227)+0.5756*0*NetET)*0+(expB/(1+expB))*1.22257*(1.4233+0.6311*NetET+0.9376*(Landscape_Area/10^3))*(1-0))*10^3/365</f>
        <v>67.78773052609327</v>
      </c>
      <c r="I37" s="184" t="s">
        <v>135</v>
      </c>
      <c r="M37" s="23" t="s">
        <v>66</v>
      </c>
      <c r="N37" s="42">
        <v>0.15</v>
      </c>
      <c r="P37" s="6"/>
      <c r="Q37" s="5" t="s">
        <v>259</v>
      </c>
      <c r="R37" s="231">
        <v>62.3</v>
      </c>
      <c r="S37" s="203">
        <v>92506</v>
      </c>
      <c r="T37" s="201">
        <v>52.033097000000005</v>
      </c>
      <c r="U37" s="15" t="s">
        <v>210</v>
      </c>
      <c r="V37" s="15">
        <v>181</v>
      </c>
    </row>
    <row r="38" spans="1:22" x14ac:dyDescent="0.3">
      <c r="A38" s="227" t="s">
        <v>223</v>
      </c>
      <c r="B38" s="226">
        <f>VLOOKUP(B4,Q28:V41,6)</f>
        <v>181</v>
      </c>
      <c r="E38" s="193"/>
      <c r="F38" s="186"/>
      <c r="G38" s="58"/>
      <c r="H38" s="194">
        <f>(H37/F37)</f>
        <v>1</v>
      </c>
      <c r="I38" s="184" t="s">
        <v>136</v>
      </c>
      <c r="M38" s="23" t="s">
        <v>70</v>
      </c>
      <c r="N38" s="94">
        <v>0.1</v>
      </c>
      <c r="P38" s="6"/>
      <c r="Q38" s="5" t="s">
        <v>257</v>
      </c>
      <c r="R38" s="231">
        <v>60</v>
      </c>
      <c r="S38" s="203">
        <v>95678</v>
      </c>
      <c r="T38" s="204">
        <v>48.707558000000006</v>
      </c>
      <c r="U38" s="12" t="s">
        <v>218</v>
      </c>
      <c r="V38" s="15">
        <v>0</v>
      </c>
    </row>
    <row r="39" spans="1:22" x14ac:dyDescent="0.3">
      <c r="A39" s="10" t="s">
        <v>126</v>
      </c>
      <c r="B39" s="6">
        <f>(((B38*0.0584178)*((refDWgpd+(2.874*W12*(177.12+50.22*Nbr)/365)+refFgpd+refWgpd+refGPF*refFPO*Occ+TotOther_br*Nbr)))*365)*10^-3</f>
        <v>497.28119255807241</v>
      </c>
      <c r="E39" s="193"/>
      <c r="F39" s="228"/>
      <c r="G39" s="58"/>
      <c r="H39" s="195">
        <f>IF(H32&gt;H37,H32,H37)</f>
        <v>67.78773052609327</v>
      </c>
      <c r="I39" s="3" t="s">
        <v>234</v>
      </c>
      <c r="M39" s="8"/>
      <c r="N39" s="107"/>
      <c r="P39" s="6"/>
      <c r="Q39" s="1" t="s">
        <v>246</v>
      </c>
      <c r="R39" s="205">
        <v>60.6</v>
      </c>
      <c r="S39" s="12">
        <v>95758</v>
      </c>
      <c r="T39" s="204">
        <v>48.391581000000002</v>
      </c>
      <c r="U39" s="12" t="s">
        <v>218</v>
      </c>
      <c r="V39" s="12">
        <v>0</v>
      </c>
    </row>
    <row r="40" spans="1:22" s="168" customFormat="1" ht="14.55" customHeight="1" x14ac:dyDescent="0.3">
      <c r="A40" s="10" t="s">
        <v>127</v>
      </c>
      <c r="B40" s="6">
        <v>5</v>
      </c>
      <c r="E40" s="193"/>
      <c r="F40" s="58"/>
      <c r="G40" s="58"/>
      <c r="H40" s="195">
        <f>IF(AND(I19="yes",I20="yes"),H39*0.85,H39)</f>
        <v>67.78773052609327</v>
      </c>
      <c r="I40" s="3" t="s">
        <v>232</v>
      </c>
      <c r="M40" s="8"/>
      <c r="N40" s="107"/>
      <c r="P40" s="169"/>
      <c r="Q40" s="1" t="s">
        <v>247</v>
      </c>
      <c r="R40" s="205">
        <v>65.3</v>
      </c>
      <c r="S40" s="12">
        <v>84770</v>
      </c>
      <c r="T40" s="204">
        <v>67.229821000000001</v>
      </c>
      <c r="U40" s="12" t="s">
        <v>210</v>
      </c>
      <c r="V40" s="12">
        <v>181</v>
      </c>
    </row>
    <row r="41" spans="1:22" x14ac:dyDescent="0.3">
      <c r="A41" s="10" t="s">
        <v>222</v>
      </c>
      <c r="B41" s="33">
        <f>IF(I15="yes",IF(B38&gt;=181,(B39*B40)/365,0),0)</f>
        <v>0</v>
      </c>
      <c r="E41" s="193"/>
      <c r="F41" s="58"/>
      <c r="G41" s="58"/>
      <c r="H41" s="195">
        <f>IF(AND(I19="yes",I21="yes"),H40*(1+((RICI_Rat-Rici_Ref)*0.1)),H40)</f>
        <v>67.78773052609327</v>
      </c>
      <c r="I41" s="3" t="s">
        <v>233</v>
      </c>
      <c r="Q41" s="5" t="s">
        <v>255</v>
      </c>
      <c r="R41" s="229">
        <v>72.099999999999994</v>
      </c>
      <c r="S41" s="230">
        <v>33602</v>
      </c>
      <c r="T41" s="232">
        <v>20.693558999999997</v>
      </c>
      <c r="U41" s="229" t="s">
        <v>212</v>
      </c>
      <c r="V41" s="229">
        <v>121</v>
      </c>
    </row>
    <row r="42" spans="1:22" x14ac:dyDescent="0.3">
      <c r="A42" s="10" t="s">
        <v>133</v>
      </c>
      <c r="B42" s="6">
        <f>(B38*0.0584178)*((SUM(G4:G10,G12)*365))*10^-3</f>
        <v>485.14139249135553</v>
      </c>
      <c r="E42" s="193"/>
      <c r="F42" s="58"/>
      <c r="G42" s="58"/>
      <c r="H42" s="195">
        <f>IF(AND(I19="yes",I23="yes"),H41*0.95,H41)</f>
        <v>67.78773052609327</v>
      </c>
      <c r="I42" s="3" t="s">
        <v>242</v>
      </c>
      <c r="M42" s="36" t="s">
        <v>132</v>
      </c>
      <c r="P42" s="63"/>
    </row>
    <row r="43" spans="1:22" x14ac:dyDescent="0.3">
      <c r="A43" s="10" t="s">
        <v>54</v>
      </c>
      <c r="B43" s="33">
        <f>IF(I15="yes",B42*I16/365,0)</f>
        <v>0</v>
      </c>
      <c r="E43" s="193"/>
      <c r="F43" s="58"/>
      <c r="G43" s="58"/>
      <c r="H43" s="195">
        <f>H42</f>
        <v>67.78773052609327</v>
      </c>
      <c r="I43" s="3" t="s">
        <v>235</v>
      </c>
      <c r="M43" s="18" t="s">
        <v>85</v>
      </c>
      <c r="N43" s="29" t="s">
        <v>21</v>
      </c>
      <c r="O43" s="57" t="s">
        <v>41</v>
      </c>
      <c r="P43" s="41"/>
    </row>
    <row r="44" spans="1:22" ht="15" thickBot="1" x14ac:dyDescent="0.35">
      <c r="E44" s="196"/>
      <c r="F44" s="197"/>
      <c r="G44" s="197"/>
      <c r="H44" s="198">
        <f>IF(AND(I18="yes",I19="no"),H35,0)</f>
        <v>0</v>
      </c>
      <c r="I44" s="168" t="s">
        <v>231</v>
      </c>
      <c r="M44" s="30" t="s">
        <v>15</v>
      </c>
      <c r="N44" s="53">
        <v>32</v>
      </c>
      <c r="O44" s="59">
        <v>28.8</v>
      </c>
      <c r="P44" s="64"/>
    </row>
    <row r="45" spans="1:22" x14ac:dyDescent="0.3">
      <c r="M45" s="31" t="s">
        <v>56</v>
      </c>
      <c r="N45" s="59">
        <f>O45*2</f>
        <v>500</v>
      </c>
      <c r="O45" s="95">
        <v>250</v>
      </c>
      <c r="P45" s="64"/>
      <c r="Q45" s="1" t="s">
        <v>217</v>
      </c>
      <c r="R45" s="205">
        <v>56.8</v>
      </c>
      <c r="S45" s="12">
        <v>94109</v>
      </c>
      <c r="T45" s="204">
        <v>29.920603999999997</v>
      </c>
      <c r="U45" s="12" t="s">
        <v>218</v>
      </c>
      <c r="V45" s="12">
        <v>0</v>
      </c>
    </row>
    <row r="46" spans="1:22" x14ac:dyDescent="0.3">
      <c r="M46" s="31" t="s">
        <v>62</v>
      </c>
      <c r="N46" s="59">
        <f t="shared" ref="N46" si="0">O46*2</f>
        <v>375</v>
      </c>
      <c r="O46" s="95">
        <v>187.5</v>
      </c>
      <c r="P46" s="64"/>
      <c r="Q46" s="1" t="s">
        <v>219</v>
      </c>
      <c r="R46" s="205">
        <v>73</v>
      </c>
      <c r="S46" s="12">
        <v>85253</v>
      </c>
      <c r="T46" s="204">
        <v>88.313923000000003</v>
      </c>
      <c r="U46" s="12" t="s">
        <v>212</v>
      </c>
      <c r="V46" s="12">
        <v>121</v>
      </c>
    </row>
    <row r="47" spans="1:22" x14ac:dyDescent="0.3">
      <c r="E47" s="41"/>
      <c r="F47" s="41"/>
      <c r="G47" s="41"/>
      <c r="M47" s="31" t="s">
        <v>66</v>
      </c>
      <c r="N47" s="59">
        <f>O47*1.5</f>
        <v>64.800000000000011</v>
      </c>
      <c r="O47" s="95">
        <v>43.2</v>
      </c>
      <c r="P47" s="64"/>
      <c r="Q47" s="1" t="s">
        <v>220</v>
      </c>
      <c r="R47" s="205">
        <v>49.9</v>
      </c>
      <c r="S47" s="12">
        <v>98405</v>
      </c>
      <c r="T47" s="204">
        <v>16.101707999999999</v>
      </c>
      <c r="U47" s="12" t="s">
        <v>218</v>
      </c>
      <c r="V47" s="12">
        <v>0</v>
      </c>
    </row>
    <row r="48" spans="1:22" x14ac:dyDescent="0.3">
      <c r="D48" s="41"/>
      <c r="E48" s="41"/>
      <c r="F48" s="41"/>
      <c r="G48" s="41"/>
      <c r="M48" s="31" t="s">
        <v>70</v>
      </c>
      <c r="N48" s="59">
        <f>O48*1.5</f>
        <v>43.2</v>
      </c>
      <c r="O48" s="95">
        <v>28.8</v>
      </c>
      <c r="P48" s="92"/>
    </row>
    <row r="49" spans="1:17" x14ac:dyDescent="0.3">
      <c r="A49" s="47" t="s">
        <v>139</v>
      </c>
      <c r="E49" s="41"/>
      <c r="F49" s="41"/>
      <c r="G49" s="41"/>
      <c r="Q49" s="1"/>
    </row>
    <row r="50" spans="1:17" x14ac:dyDescent="0.3">
      <c r="A50" s="5" t="s">
        <v>144</v>
      </c>
    </row>
    <row r="51" spans="1:17" x14ac:dyDescent="0.3">
      <c r="A51" s="97" t="s">
        <v>239</v>
      </c>
      <c r="B51" s="116">
        <f>2.1/3</f>
        <v>0.70000000000000007</v>
      </c>
      <c r="C51" s="10"/>
      <c r="J51" s="10" t="s">
        <v>249</v>
      </c>
      <c r="K51" s="3">
        <v>6.4</v>
      </c>
    </row>
    <row r="52" spans="1:17" x14ac:dyDescent="0.3">
      <c r="A52" s="97" t="s">
        <v>240</v>
      </c>
      <c r="B52" s="116">
        <f>17.8/3</f>
        <v>5.9333333333333336</v>
      </c>
      <c r="D52" s="101" t="s">
        <v>140</v>
      </c>
      <c r="E52" s="10"/>
      <c r="F52" s="3" t="s">
        <v>141</v>
      </c>
      <c r="H52" s="182" t="s">
        <v>137</v>
      </c>
      <c r="J52" s="105" t="s">
        <v>138</v>
      </c>
      <c r="K52" s="34"/>
    </row>
    <row r="53" spans="1:17" x14ac:dyDescent="0.3">
      <c r="A53" s="5" t="s">
        <v>156</v>
      </c>
      <c r="B53" s="10"/>
      <c r="D53" s="10" t="s">
        <v>145</v>
      </c>
      <c r="E53" s="76">
        <v>1.6</v>
      </c>
      <c r="F53" s="10" t="s">
        <v>146</v>
      </c>
      <c r="G53" s="119">
        <f>adjFmix*refFgpd*VintFact</f>
        <v>31.691172214182345</v>
      </c>
      <c r="H53" s="177" t="s">
        <v>147</v>
      </c>
      <c r="I53" s="3">
        <f>1.09+0.54*Nbr</f>
        <v>2.71</v>
      </c>
      <c r="J53" s="10" t="s">
        <v>143</v>
      </c>
      <c r="K53" s="102">
        <v>1</v>
      </c>
    </row>
    <row r="54" spans="1:17" x14ac:dyDescent="0.3">
      <c r="A54" s="10" t="s">
        <v>160</v>
      </c>
      <c r="B54" s="87">
        <f>VLOOKUP($I$10,$Q$12:$V$15,2,0)</f>
        <v>2.8740000000000001</v>
      </c>
      <c r="D54" s="10" t="s">
        <v>149</v>
      </c>
      <c r="E54" s="76">
        <v>5.05</v>
      </c>
      <c r="F54" s="10" t="s">
        <v>150</v>
      </c>
      <c r="G54" s="119">
        <f>adjFmix/Fmix*refFgpd*VintFact</f>
        <v>44.6</v>
      </c>
      <c r="H54" s="183" t="s">
        <v>142</v>
      </c>
      <c r="I54" s="103">
        <f>VLOOKUP($B$5,$M$18:$N$22,2,0)</f>
        <v>1</v>
      </c>
      <c r="J54" s="10" t="s">
        <v>148</v>
      </c>
      <c r="K54" s="106">
        <v>0.25</v>
      </c>
    </row>
    <row r="55" spans="1:17" ht="15.6" x14ac:dyDescent="0.35">
      <c r="A55" s="10" t="s">
        <v>165</v>
      </c>
      <c r="B55" s="87">
        <f>VLOOKUP($I$10,$Q$12:$V$15,3,0)</f>
        <v>704</v>
      </c>
      <c r="D55" s="5" t="s">
        <v>153</v>
      </c>
      <c r="E55" s="5"/>
      <c r="F55" s="10" t="s">
        <v>154</v>
      </c>
      <c r="G55" s="119">
        <v>2.5</v>
      </c>
      <c r="H55" s="177" t="s">
        <v>155</v>
      </c>
      <c r="I55" s="69">
        <f>IF($B$7&gt;=2,$K$6,$K$6*1.082)</f>
        <v>0.54</v>
      </c>
      <c r="J55" s="10" t="s">
        <v>152</v>
      </c>
      <c r="K55" s="106">
        <v>0</v>
      </c>
    </row>
    <row r="56" spans="1:17" x14ac:dyDescent="0.3">
      <c r="A56" s="10" t="s">
        <v>169</v>
      </c>
      <c r="B56" s="87">
        <f>VLOOKUP($I$10,$Q$12:$V$15,4,0)</f>
        <v>8.0299999999999996E-2</v>
      </c>
      <c r="D56" s="227" t="s">
        <v>157</v>
      </c>
      <c r="E56" s="223">
        <f>VLOOKUP(B4,Q28:V41,2,FALSE)</f>
        <v>49.5</v>
      </c>
      <c r="F56" s="10" t="s">
        <v>158</v>
      </c>
      <c r="G56" s="120">
        <v>0.54</v>
      </c>
      <c r="H56" s="182" t="s">
        <v>151</v>
      </c>
    </row>
    <row r="57" spans="1:17" x14ac:dyDescent="0.3">
      <c r="A57" s="10" t="s">
        <v>173</v>
      </c>
      <c r="B57" s="87">
        <f>VLOOKUP($I$10,$Q$12:$V$15,5,0)</f>
        <v>0.57999999999999996</v>
      </c>
      <c r="C57" s="37"/>
      <c r="D57" s="10" t="s">
        <v>161</v>
      </c>
      <c r="E57" s="82">
        <v>125</v>
      </c>
      <c r="F57" s="10" t="s">
        <v>162</v>
      </c>
      <c r="G57" s="120">
        <f>1-shower_pc</f>
        <v>0.45999999999999996</v>
      </c>
      <c r="H57" s="177" t="s">
        <v>159</v>
      </c>
      <c r="I57" s="3">
        <f>Tuse-8</f>
        <v>97</v>
      </c>
    </row>
    <row r="58" spans="1:17" x14ac:dyDescent="0.3">
      <c r="A58" s="10" t="s">
        <v>177</v>
      </c>
      <c r="B58" s="87">
        <f>VLOOKUP($I$10,$Q$12:$V$15,6,0)</f>
        <v>23</v>
      </c>
      <c r="C58" s="37"/>
      <c r="D58" s="10" t="s">
        <v>166</v>
      </c>
      <c r="E58" s="82">
        <v>105</v>
      </c>
      <c r="F58" s="10" t="s">
        <v>167</v>
      </c>
      <c r="G58" s="120">
        <f>faucet_pc*kitch</f>
        <v>0.31739999999999996</v>
      </c>
      <c r="H58" s="177" t="s">
        <v>163</v>
      </c>
      <c r="I58" s="35">
        <f>0.56 + 0.015*Nbr - 0.0004*Nbr^2</f>
        <v>0.60140000000000005</v>
      </c>
      <c r="J58" s="90" t="s">
        <v>164</v>
      </c>
    </row>
    <row r="59" spans="1:17" ht="15.6" x14ac:dyDescent="0.35">
      <c r="A59" s="10" t="s">
        <v>181</v>
      </c>
      <c r="B59" s="88">
        <f xml:space="preserve"> (3/2.874)*(164+Nbr*46.5)</f>
        <v>316.80584551148223</v>
      </c>
      <c r="D59" s="10" t="s">
        <v>170</v>
      </c>
      <c r="E59" s="165">
        <f>(B8)/(kitch_Ref_gpm)</f>
        <v>1</v>
      </c>
      <c r="F59" s="10" t="s">
        <v>171</v>
      </c>
      <c r="G59" s="120">
        <f>faucet_pc*lav</f>
        <v>0.1426</v>
      </c>
      <c r="H59" s="177" t="s">
        <v>168</v>
      </c>
      <c r="I59" s="25">
        <f>IF($K$5=$U$6,1,0.777)</f>
        <v>1</v>
      </c>
    </row>
    <row r="60" spans="1:17" ht="15.6" x14ac:dyDescent="0.35">
      <c r="A60" s="10" t="s">
        <v>185</v>
      </c>
      <c r="B60" s="88">
        <f xml:space="preserve"> NCY*(3*2.08+1.59)/(CAPw*2.08+1.59)</f>
        <v>327.77695461301198</v>
      </c>
      <c r="D60" s="10" t="s">
        <v>174</v>
      </c>
      <c r="E60" s="83">
        <f>IF($B$9="std",$N$5,$N$6)</f>
        <v>1</v>
      </c>
      <c r="F60" s="10" t="s">
        <v>175</v>
      </c>
      <c r="G60" s="163">
        <f>(B7)/(Sh_ref_gpm)</f>
        <v>1</v>
      </c>
      <c r="H60" s="177" t="s">
        <v>172</v>
      </c>
      <c r="I60" s="33">
        <f>IF($K$4=$V$5,1,0.5)</f>
        <v>1</v>
      </c>
      <c r="J60" s="5"/>
    </row>
    <row r="61" spans="1:17" ht="15.6" x14ac:dyDescent="0.35">
      <c r="A61" s="10" t="s">
        <v>189</v>
      </c>
      <c r="B61" s="87">
        <f>VLOOKUP($I$9,$Q$18:$S$20,2,0)</f>
        <v>12</v>
      </c>
      <c r="D61" s="10" t="s">
        <v>178</v>
      </c>
      <c r="E61" s="84">
        <f xml:space="preserve"> 1-((Tset-Tuse)/(Tset-(Tmains)))</f>
        <v>0.71056439942112881</v>
      </c>
      <c r="F61" s="10" t="s">
        <v>179</v>
      </c>
      <c r="G61" s="120">
        <v>0.69</v>
      </c>
      <c r="H61" s="177" t="s">
        <v>176</v>
      </c>
      <c r="I61" s="7">
        <f>1-PLCfact*pLength</f>
        <v>0.98214359353944902</v>
      </c>
      <c r="J61" s="5"/>
    </row>
    <row r="62" spans="1:17" ht="15.6" x14ac:dyDescent="0.35">
      <c r="A62" s="10" t="s">
        <v>194</v>
      </c>
      <c r="B62" s="87">
        <f>VLOOKUP($I$9,$Q$18:$S$20,3,0)</f>
        <v>1.1200000000000001</v>
      </c>
      <c r="D62" s="10" t="s">
        <v>182</v>
      </c>
      <c r="E62" s="85">
        <f xml:space="preserve"> 1-((Tset-Tuse)/(Tset-Tmains-WHinTadj))</f>
        <v>0.71056439942112881</v>
      </c>
      <c r="F62" s="10" t="s">
        <v>183</v>
      </c>
      <c r="G62" s="120">
        <f>1-kitch</f>
        <v>0.31000000000000005</v>
      </c>
      <c r="H62" s="177" t="s">
        <v>180</v>
      </c>
      <c r="I62" s="3">
        <v>2.0000000000000001E-4</v>
      </c>
      <c r="J62" s="5"/>
    </row>
    <row r="63" spans="1:17" x14ac:dyDescent="0.3">
      <c r="A63" s="10" t="s">
        <v>197</v>
      </c>
      <c r="B63" s="83">
        <f xml:space="preserve"> ((88.4+34.9*Nbr)*8.16)/365</f>
        <v>4.3169753424657529</v>
      </c>
      <c r="D63" s="75" t="s">
        <v>227</v>
      </c>
      <c r="E63" s="86">
        <f xml:space="preserve"> 9.8*Nbr^0.43</f>
        <v>15.717671770088979</v>
      </c>
      <c r="F63" s="10" t="s">
        <v>186</v>
      </c>
      <c r="G63" s="26">
        <v>2.2000000000000002</v>
      </c>
      <c r="H63" s="182" t="s">
        <v>184</v>
      </c>
      <c r="K63" s="74"/>
    </row>
    <row r="64" spans="1:17" x14ac:dyDescent="0.3">
      <c r="A64" s="10" t="s">
        <v>199</v>
      </c>
      <c r="B64" s="83">
        <f>((4.52*(164+46.5*Nbr))*((3*2.08+1.59)/(2.874*2.08+1.59)))/365</f>
        <v>3.888566185718028</v>
      </c>
      <c r="C64" s="6"/>
      <c r="D64" s="75" t="s">
        <v>190</v>
      </c>
      <c r="E64" s="86">
        <f>14.6 + 10*Nbr</f>
        <v>44.6</v>
      </c>
      <c r="F64" s="10" t="s">
        <v>191</v>
      </c>
      <c r="G64" s="164">
        <f>SHeff*shower_pc+KitchFeff*Kitch_pc+LavFeff*Lav_pc</f>
        <v>1</v>
      </c>
      <c r="H64" s="177" t="s">
        <v>187</v>
      </c>
      <c r="I64" s="6">
        <f>IF($B$5=$Q$5,PipeL/refPipeL,branchL/10)</f>
        <v>1</v>
      </c>
      <c r="K64" s="74"/>
    </row>
    <row r="65" spans="1:11" x14ac:dyDescent="0.3">
      <c r="A65" s="10" t="s">
        <v>201</v>
      </c>
      <c r="B65" s="89">
        <f xml:space="preserve"> ((88.4+34.9*Nbr)*12/dWcap*(4.6415*(1/DW_EF)-1.9295))/365</f>
        <v>1.1716654256360075</v>
      </c>
      <c r="D65" s="5" t="s">
        <v>195</v>
      </c>
      <c r="G65" s="200"/>
      <c r="H65" s="177" t="s">
        <v>192</v>
      </c>
      <c r="I65" s="6">
        <f>IF($B$6=$S$5,VLOOKUP($B$5,$M$10:$O$14,2,0),VLOOKUP($B$5,$M$10:$O$14,3,0))</f>
        <v>1</v>
      </c>
      <c r="J65" s="5" t="s">
        <v>188</v>
      </c>
      <c r="K65" s="74"/>
    </row>
    <row r="66" spans="1:11" x14ac:dyDescent="0.3">
      <c r="A66" s="10" t="s">
        <v>203</v>
      </c>
      <c r="B66" s="83">
        <f xml:space="preserve"> (60*((LER*(kWh_cost)-AGC)/(21.9825*(kWh_cost)-(therm_cost))/ 392)*ACY/365)</f>
        <v>3.8887507850298402</v>
      </c>
      <c r="D66" s="75" t="s">
        <v>228</v>
      </c>
      <c r="E66" s="76">
        <f>refWgpd*oFrac*(1-oCDeff)</f>
        <v>3.9294179425222446</v>
      </c>
      <c r="H66" s="177" t="s">
        <v>196</v>
      </c>
      <c r="I66" s="6">
        <f>IF($B$5=$Q$5,PipeL,branchL)</f>
        <v>89.282032302755098</v>
      </c>
      <c r="J66" s="5" t="s">
        <v>193</v>
      </c>
      <c r="K66" s="74"/>
    </row>
    <row r="67" spans="1:11" x14ac:dyDescent="0.3">
      <c r="D67" s="75" t="s">
        <v>229</v>
      </c>
      <c r="E67" s="76">
        <f>(refWgpd-refWgpd*oFrac)*pRatio*sysFactor</f>
        <v>11.788253827566734</v>
      </c>
      <c r="H67" s="182" t="s">
        <v>198</v>
      </c>
      <c r="J67" s="77"/>
      <c r="K67" s="74"/>
    </row>
    <row r="68" spans="1:11" x14ac:dyDescent="0.3">
      <c r="A68" s="10"/>
      <c r="D68" s="75" t="s">
        <v>202</v>
      </c>
      <c r="E68" s="74">
        <f>IF(B6="none",VLOOKUP(B5,M44:O48,2,0)*oFrac,VLOOKUP(B5,M44:O48,3,0)*oFrac)</f>
        <v>8</v>
      </c>
      <c r="H68" s="177" t="s">
        <v>200</v>
      </c>
      <c r="I68" s="25">
        <f>HWgpd/(30+10*Nbr)</f>
        <v>0.83366677377433163</v>
      </c>
      <c r="J68" s="77"/>
    </row>
    <row r="69" spans="1:11" x14ac:dyDescent="0.3">
      <c r="A69" s="10"/>
      <c r="B69" s="84"/>
      <c r="D69" s="75" t="s">
        <v>204</v>
      </c>
      <c r="E69" s="74">
        <f>IF(B6="none",VLOOKUP($B$5,$M$44:$O$48,2,0),VLOOKUP($B$5,$M$44:$O$48,3,0))-oEWfact</f>
        <v>24</v>
      </c>
      <c r="H69" s="177"/>
      <c r="J69" s="77"/>
    </row>
    <row r="70" spans="1:11" x14ac:dyDescent="0.3">
      <c r="A70" s="10"/>
      <c r="B70" s="6"/>
      <c r="D70" s="10"/>
      <c r="H70" s="177"/>
    </row>
    <row r="72" spans="1:11" x14ac:dyDescent="0.3">
      <c r="A72" s="96"/>
      <c r="B72" s="104"/>
    </row>
    <row r="73" spans="1:11" x14ac:dyDescent="0.3">
      <c r="A73" s="96"/>
      <c r="B73" s="104"/>
      <c r="K73" s="74"/>
    </row>
    <row r="74" spans="1:11" x14ac:dyDescent="0.3">
      <c r="A74" s="96"/>
      <c r="B74" s="104"/>
      <c r="J74" s="5"/>
    </row>
    <row r="75" spans="1:11" x14ac:dyDescent="0.3">
      <c r="B75" s="104"/>
      <c r="J75" s="5"/>
    </row>
    <row r="76" spans="1:11" x14ac:dyDescent="0.3">
      <c r="B76" s="104"/>
      <c r="J76" s="5"/>
    </row>
    <row r="77" spans="1:11" x14ac:dyDescent="0.3">
      <c r="B77" s="6"/>
      <c r="D77" s="10"/>
      <c r="E77" s="10"/>
      <c r="F77" s="6"/>
      <c r="J77" s="5"/>
    </row>
    <row r="78" spans="1:11" x14ac:dyDescent="0.3">
      <c r="B78" s="6"/>
      <c r="J78" s="5"/>
    </row>
    <row r="79" spans="1:11" x14ac:dyDescent="0.3">
      <c r="B79" s="10"/>
      <c r="J79" s="5"/>
    </row>
    <row r="80" spans="1:11" x14ac:dyDescent="0.3">
      <c r="D80" s="10"/>
      <c r="E80" s="10"/>
      <c r="F80" s="44"/>
      <c r="J80" s="5"/>
    </row>
    <row r="81" spans="1:10" x14ac:dyDescent="0.3">
      <c r="J81" s="5"/>
    </row>
    <row r="82" spans="1:10" x14ac:dyDescent="0.3">
      <c r="A82" s="43"/>
      <c r="J82" s="5"/>
    </row>
    <row r="83" spans="1:10" x14ac:dyDescent="0.3">
      <c r="B83" s="36"/>
      <c r="J83" s="5"/>
    </row>
    <row r="84" spans="1:10" x14ac:dyDescent="0.3">
      <c r="J84" s="5"/>
    </row>
    <row r="85" spans="1:10" x14ac:dyDescent="0.3">
      <c r="J85" s="5"/>
    </row>
    <row r="86" spans="1:10" x14ac:dyDescent="0.3">
      <c r="G86" s="43"/>
      <c r="J86" s="5"/>
    </row>
  </sheetData>
  <sheetProtection algorithmName="SHA-512" hashValue="lXkJMl07n5gAvkQSjMUMWr2C5rVCG4hpz4X1RJvWudRGAqdDWPSZ6IRZh1+kRMIHCmabt3WUYYLJeaTWk3rp9A==" saltValue="/QDCIHL2o4w7fFWjJeeNIg==" spinCount="100000" sheet="1" objects="1" scenarios="1"/>
  <sortState ref="Q28:V41">
    <sortCondition ref="Q28:Q41"/>
  </sortState>
  <mergeCells count="4">
    <mergeCell ref="A3:B3"/>
    <mergeCell ref="A1:K1"/>
    <mergeCell ref="E29:F29"/>
    <mergeCell ref="G29:H29"/>
  </mergeCells>
  <dataValidations count="16">
    <dataValidation type="whole" showErrorMessage="1" error="Value must be whole number between 1 and 5" prompt="Number of conditioned floor levels, including conditioned basements." sqref="I6">
      <formula1>1</formula1>
      <formula2>6</formula2>
    </dataValidation>
    <dataValidation type="whole" allowBlank="1" showErrorMessage="1" error="Value must be either 0 or 1" prompt="Include only unconditioned basements._x000a_" sqref="I7">
      <formula1>0</formula1>
      <formula2>1</formula2>
    </dataValidation>
    <dataValidation allowBlank="1" showInputMessage="1" showErrorMessage="1" error="Value must be whole number between 1 and 10" sqref="I5"/>
    <dataValidation type="decimal" allowBlank="1" showInputMessage="1" showErrorMessage="1" error="Input value must be between 0% and 50%" sqref="K55">
      <formula1>0</formula1>
      <formula2>0.5</formula2>
    </dataValidation>
    <dataValidation type="decimal" allowBlank="1" showInputMessage="1" showErrorMessage="1" error="Input value must be between 0% and 100%" sqref="K54">
      <formula1>0</formula1>
      <formula2>1</formula2>
    </dataValidation>
    <dataValidation type="decimal" operator="greaterThanOrEqual" allowBlank="1" showInputMessage="1" showErrorMessage="1" sqref="I16">
      <formula1>0.1</formula1>
    </dataValidation>
    <dataValidation type="list" allowBlank="1" showInputMessage="1" showErrorMessage="1" sqref="B9">
      <formula1>$R$5:$R$6</formula1>
    </dataValidation>
    <dataValidation type="list" allowBlank="1" showInputMessage="1" showErrorMessage="1" sqref="B6">
      <formula1>$S$5:$S$6</formula1>
    </dataValidation>
    <dataValidation type="list" allowBlank="1" showInputMessage="1" showErrorMessage="1" sqref="B5">
      <formula1>$Q$5:$Q$9</formula1>
    </dataValidation>
    <dataValidation type="list" allowBlank="1" showErrorMessage="1" prompt="YES = DWHR equally impacts fixture and water heater supply. _x000a_NO = DWHR impacts ONLY the fixture or ONLY the water heater supply." sqref="K5">
      <formula1>$U$5:$U$6</formula1>
    </dataValidation>
    <dataValidation type="list" allowBlank="1" showInputMessage="1" showErrorMessage="1" sqref="K4">
      <formula1>$V$5:$V$6</formula1>
    </dataValidation>
    <dataValidation type="list" allowBlank="1" showErrorMessage="1" sqref="B14">
      <formula1>$U$5:$U$6</formula1>
    </dataValidation>
    <dataValidation type="list" allowBlank="1" showInputMessage="1" showErrorMessage="1" sqref="I10">
      <formula1>$Q$12:$Q$15</formula1>
    </dataValidation>
    <dataValidation type="list" allowBlank="1" showInputMessage="1" showErrorMessage="1" sqref="I9">
      <formula1>$Q$18:$Q$20</formula1>
    </dataValidation>
    <dataValidation type="list" allowBlank="1" showInputMessage="1" showErrorMessage="1" sqref="I23 I18:I21 I15">
      <formula1>$W$5:$W$6</formula1>
    </dataValidation>
    <dataValidation type="list" allowBlank="1" showInputMessage="1" showErrorMessage="1" sqref="B4">
      <formula1>$Q$28:$Q$41</formula1>
    </dataValidation>
  </dataValidations>
  <pageMargins left="0.7" right="0.7" top="0.75" bottom="0.75" header="0.3" footer="0.3"/>
  <pageSetup orientation="portrait" r:id="rId1"/>
  <ignoredErrors>
    <ignoredError sqref="B17" unlockedFormula="1"/>
    <ignoredError sqref="B1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109</vt:i4>
      </vt:variant>
    </vt:vector>
  </HeadingPairs>
  <TitlesOfParts>
    <vt:vector size="111" baseType="lpstr">
      <vt:lpstr>Instructions</vt:lpstr>
      <vt:lpstr>Water Use Calcs</vt:lpstr>
      <vt:lpstr>ACY</vt:lpstr>
      <vt:lpstr>adjFmix</vt:lpstr>
      <vt:lpstr>AGC</vt:lpstr>
      <vt:lpstr>branchL</vt:lpstr>
      <vt:lpstr>Bsmt</vt:lpstr>
      <vt:lpstr>CAPw</vt:lpstr>
      <vt:lpstr>CFA</vt:lpstr>
      <vt:lpstr>ColdW_gpd</vt:lpstr>
      <vt:lpstr>CW_gpd</vt:lpstr>
      <vt:lpstr>cwFmix</vt:lpstr>
      <vt:lpstr>CWgpd</vt:lpstr>
      <vt:lpstr>CWhot</vt:lpstr>
      <vt:lpstr>CWtemp</vt:lpstr>
      <vt:lpstr>CWtot_gpd</vt:lpstr>
      <vt:lpstr>CWwf</vt:lpstr>
      <vt:lpstr>DW_EF</vt:lpstr>
      <vt:lpstr>DW_gpd</vt:lpstr>
      <vt:lpstr>dWcap</vt:lpstr>
      <vt:lpstr>DWgpd</vt:lpstr>
      <vt:lpstr>DWHReff</vt:lpstr>
      <vt:lpstr>DWHRinT</vt:lpstr>
      <vt:lpstr>expA</vt:lpstr>
      <vt:lpstr>expAref</vt:lpstr>
      <vt:lpstr>expB</vt:lpstr>
      <vt:lpstr>expBref</vt:lpstr>
      <vt:lpstr>F_eff</vt:lpstr>
      <vt:lpstr>faucet_pc</vt:lpstr>
      <vt:lpstr>FixF</vt:lpstr>
      <vt:lpstr>FixtureHot</vt:lpstr>
      <vt:lpstr>FixtureTot</vt:lpstr>
      <vt:lpstr>Fmix</vt:lpstr>
      <vt:lpstr>gdp_ratio</vt:lpstr>
      <vt:lpstr>gpf</vt:lpstr>
      <vt:lpstr>HotOther_br</vt:lpstr>
      <vt:lpstr>HW_Leaks</vt:lpstr>
      <vt:lpstr>HWgpd</vt:lpstr>
      <vt:lpstr>Ifrac</vt:lpstr>
      <vt:lpstr>kitch</vt:lpstr>
      <vt:lpstr>Kitch_pc</vt:lpstr>
      <vt:lpstr>kitch_Ref_gpm</vt:lpstr>
      <vt:lpstr>KitchF_gpd</vt:lpstr>
      <vt:lpstr>KitchFeff</vt:lpstr>
      <vt:lpstr>kWh_cost</vt:lpstr>
      <vt:lpstr>Landscape_Area</vt:lpstr>
      <vt:lpstr>lav</vt:lpstr>
      <vt:lpstr>Lav_pc</vt:lpstr>
      <vt:lpstr>LavF_gpd</vt:lpstr>
      <vt:lpstr>LavFeff</vt:lpstr>
      <vt:lpstr>LER</vt:lpstr>
      <vt:lpstr>LocF</vt:lpstr>
      <vt:lpstr>loopL</vt:lpstr>
      <vt:lpstr>Lot_Area</vt:lpstr>
      <vt:lpstr>Lot_size</vt:lpstr>
      <vt:lpstr>Nbr</vt:lpstr>
      <vt:lpstr>NCY</vt:lpstr>
      <vt:lpstr>NetET</vt:lpstr>
      <vt:lpstr>Nfl</vt:lpstr>
      <vt:lpstr>Occ</vt:lpstr>
      <vt:lpstr>oCDeff</vt:lpstr>
      <vt:lpstr>oEWfact</vt:lpstr>
      <vt:lpstr>oFrac</vt:lpstr>
      <vt:lpstr>Out_gpd</vt:lpstr>
      <vt:lpstr>OutRef_gpd</vt:lpstr>
      <vt:lpstr>oWgpd</vt:lpstr>
      <vt:lpstr>PipeL</vt:lpstr>
      <vt:lpstr>PLC</vt:lpstr>
      <vt:lpstr>PLCfact</vt:lpstr>
      <vt:lpstr>pLength</vt:lpstr>
      <vt:lpstr>pool_ind</vt:lpstr>
      <vt:lpstr>pRatio</vt:lpstr>
      <vt:lpstr>pumpW</vt:lpstr>
      <vt:lpstr>Ref_Irr_Area</vt:lpstr>
      <vt:lpstr>refCWgpd</vt:lpstr>
      <vt:lpstr>refDWgpd</vt:lpstr>
      <vt:lpstr>refFgpd</vt:lpstr>
      <vt:lpstr>refFPO</vt:lpstr>
      <vt:lpstr>refGPF</vt:lpstr>
      <vt:lpstr>refLoopL</vt:lpstr>
      <vt:lpstr>refPipeL</vt:lpstr>
      <vt:lpstr>refSofgpd</vt:lpstr>
      <vt:lpstr>refWgpd</vt:lpstr>
      <vt:lpstr>RICI_Rat</vt:lpstr>
      <vt:lpstr>Rici_Ref</vt:lpstr>
      <vt:lpstr>sEWfact</vt:lpstr>
      <vt:lpstr>Sh_ref_gpm</vt:lpstr>
      <vt:lpstr>SHeff</vt:lpstr>
      <vt:lpstr>Shower_gpd</vt:lpstr>
      <vt:lpstr>shower_pc</vt:lpstr>
      <vt:lpstr>Soft_gpd</vt:lpstr>
      <vt:lpstr>Soft_ref</vt:lpstr>
      <vt:lpstr>sprink_ind</vt:lpstr>
      <vt:lpstr>Static_Pressure</vt:lpstr>
      <vt:lpstr>sWgpd</vt:lpstr>
      <vt:lpstr>sysFactor</vt:lpstr>
      <vt:lpstr>Tavg</vt:lpstr>
      <vt:lpstr>therm_cost</vt:lpstr>
      <vt:lpstr>Tmains</vt:lpstr>
      <vt:lpstr>Tmains_offset</vt:lpstr>
      <vt:lpstr>Toilets_gpd</vt:lpstr>
      <vt:lpstr>Tot_Other</vt:lpstr>
      <vt:lpstr>TotOther_br</vt:lpstr>
      <vt:lpstr>Tset</vt:lpstr>
      <vt:lpstr>Tuse</vt:lpstr>
      <vt:lpstr>VC</vt:lpstr>
      <vt:lpstr>VintFact</vt:lpstr>
      <vt:lpstr>Waste_gpd</vt:lpstr>
      <vt:lpstr>WDeff</vt:lpstr>
      <vt:lpstr>WHinT</vt:lpstr>
      <vt:lpstr>WHinTadj</vt:lpstr>
    </vt:vector>
  </TitlesOfParts>
  <Manager/>
  <Company>Architectural Energy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 Fairey</dc:creator>
  <cp:keywords/>
  <dc:description/>
  <cp:lastModifiedBy>Ryan Meres</cp:lastModifiedBy>
  <cp:revision/>
  <dcterms:created xsi:type="dcterms:W3CDTF">2014-02-20T17:36:44Z</dcterms:created>
  <dcterms:modified xsi:type="dcterms:W3CDTF">2018-06-19T16:10:50Z</dcterms:modified>
  <cp:category/>
  <cp:contentStatus/>
</cp:coreProperties>
</file>